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 defaultThemeVersion="124226"/>
  <bookViews>
    <workbookView xWindow="285" yWindow="90" windowWidth="15480" windowHeight="9435" activeTab="5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CalcPrg" sheetId="6" r:id="rId10"/>
    <sheet name="tmp" sheetId="4" r:id="rId11"/>
  </sheets>
  <definedNames>
    <definedName name="_xlnm._FilterDatabase" localSheetId="4" hidden="1">MD!$A$4:$U$36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/>
</workbook>
</file>

<file path=xl/calcChain.xml><?xml version="1.0" encoding="utf-8"?>
<calcChain xmlns="http://schemas.openxmlformats.org/spreadsheetml/2006/main">
  <c r="B5" i="4"/>
  <c r="B4"/>
  <c r="B3"/>
  <c r="A2" i="10" l="1"/>
  <c r="A1"/>
  <c r="B2" i="4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C75" i="6" s="1"/>
  <c r="H5" i="14"/>
  <c r="C86" i="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C10"/>
  <c r="C14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P10" s="1"/>
  <c r="C77" i="6"/>
  <c r="K13" i="14"/>
  <c r="N13" s="1"/>
  <c r="P14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 s="1"/>
  <c r="B10"/>
  <c r="G10" s="1"/>
  <c r="D11"/>
  <c r="I8"/>
  <c r="F8"/>
  <c r="D76" i="1"/>
  <c r="C76" i="6" l="1"/>
  <c r="H8" i="14"/>
  <c r="L8"/>
  <c r="J8"/>
  <c r="E86" i="6" s="1"/>
  <c r="D86" s="1"/>
  <c r="B11" i="14"/>
  <c r="G11" s="1"/>
  <c r="D12"/>
  <c r="I10"/>
  <c r="F10"/>
  <c r="D77" i="1"/>
  <c r="E76" i="6" l="1"/>
  <c r="K8" i="14"/>
  <c r="N7" s="1"/>
  <c r="P6" s="1"/>
  <c r="R8" s="1"/>
  <c r="H10"/>
  <c r="L10"/>
  <c r="J10"/>
  <c r="B12"/>
  <c r="G12" s="1"/>
  <c r="D13"/>
  <c r="D14" s="1"/>
  <c r="I11"/>
  <c r="F11"/>
  <c r="D78" i="1"/>
  <c r="E77" i="6" l="1"/>
  <c r="K10" i="14"/>
  <c r="F12"/>
  <c r="I12"/>
  <c r="H11"/>
  <c r="L11"/>
  <c r="J11"/>
  <c r="K11" s="1"/>
  <c r="B14"/>
  <c r="G14" s="1"/>
  <c r="D15"/>
  <c r="D79" i="1"/>
  <c r="C78" i="6" l="1"/>
  <c r="L12" i="14"/>
  <c r="H12"/>
  <c r="J12"/>
  <c r="E78" i="6" s="1"/>
  <c r="B15" i="14"/>
  <c r="G15" s="1"/>
  <c r="D16"/>
  <c r="I14"/>
  <c r="F14"/>
  <c r="D80" i="1"/>
  <c r="E87" i="6" l="1"/>
  <c r="D87" s="1"/>
  <c r="K12" i="14"/>
  <c r="N11" s="1"/>
  <c r="F15"/>
  <c r="I15"/>
  <c r="H14"/>
  <c r="L14"/>
  <c r="J14"/>
  <c r="E79" i="6" s="1"/>
  <c r="K14" i="14"/>
  <c r="B16"/>
  <c r="G16" s="1"/>
  <c r="D17"/>
  <c r="D81" i="1"/>
  <c r="L15" i="14" l="1"/>
  <c r="H15"/>
  <c r="J15"/>
  <c r="C80" i="6" s="1"/>
  <c r="B17" i="14"/>
  <c r="G17" s="1"/>
  <c r="D18"/>
  <c r="I16"/>
  <c r="F16"/>
  <c r="D82" i="1"/>
  <c r="K15" i="14" l="1"/>
  <c r="F17"/>
  <c r="I17"/>
  <c r="H16"/>
  <c r="L16"/>
  <c r="J16"/>
  <c r="K16" s="1"/>
  <c r="N15" s="1"/>
  <c r="B18"/>
  <c r="G18" s="1"/>
  <c r="D19"/>
  <c r="D83" i="1"/>
  <c r="E88" i="6" l="1"/>
  <c r="D88" s="1"/>
  <c r="E80"/>
  <c r="L17" i="14"/>
  <c r="H17"/>
  <c r="J17"/>
  <c r="C81" i="6" s="1"/>
  <c r="B19" i="14"/>
  <c r="G19" s="1"/>
  <c r="D20"/>
  <c r="I18"/>
  <c r="F18"/>
  <c r="D84" i="1"/>
  <c r="K17" i="14" l="1"/>
  <c r="H18"/>
  <c r="L18"/>
  <c r="J18"/>
  <c r="K18" s="1"/>
  <c r="N17" s="1"/>
  <c r="I19"/>
  <c r="F19"/>
  <c r="D85" i="1"/>
  <c r="D86" s="1"/>
  <c r="C89" i="6" l="1"/>
  <c r="E81"/>
  <c r="H19" i="14"/>
  <c r="L19"/>
  <c r="J19"/>
  <c r="K19"/>
  <c r="N19" s="1"/>
  <c r="P18" s="1"/>
  <c r="R16" s="1"/>
  <c r="R12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6" i="2" l="1"/>
  <c r="I9"/>
  <c r="I29"/>
  <c r="I3"/>
  <c r="I13"/>
  <c r="I12"/>
  <c r="I32"/>
  <c r="I28"/>
  <c r="I7"/>
  <c r="I23"/>
  <c r="I20"/>
  <c r="I8"/>
  <c r="I34"/>
  <c r="I14"/>
  <c r="I33"/>
  <c r="I21"/>
  <c r="I25"/>
  <c r="I11"/>
  <c r="I19"/>
  <c r="I5"/>
  <c r="I27"/>
  <c r="I22"/>
  <c r="I30"/>
  <c r="I17"/>
  <c r="I16"/>
  <c r="I26"/>
  <c r="I15"/>
  <c r="I10"/>
  <c r="I4"/>
  <c r="I31"/>
  <c r="I18"/>
  <c r="I24"/>
  <c r="I9" i="12"/>
  <c r="I3"/>
  <c r="I12"/>
  <c r="I8"/>
  <c r="I7"/>
  <c r="I11"/>
  <c r="I13"/>
  <c r="I5"/>
  <c r="I6"/>
  <c r="I19"/>
  <c r="I24"/>
  <c r="I34"/>
  <c r="I22"/>
  <c r="I18"/>
  <c r="I20"/>
  <c r="I15"/>
  <c r="I23"/>
  <c r="I17"/>
  <c r="I16"/>
  <c r="I21"/>
  <c r="I14"/>
  <c r="I10"/>
  <c r="I25"/>
  <c r="I28"/>
  <c r="I26"/>
  <c r="I27"/>
  <c r="I29"/>
  <c r="I30"/>
  <c r="I32"/>
  <c r="I33"/>
  <c r="I31"/>
  <c r="I4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L8"/>
  <c r="B20" i="3" s="1"/>
  <c r="C19" s="1"/>
  <c r="L9" i="1"/>
  <c r="B21" i="3" s="1"/>
  <c r="C22" s="1"/>
  <c r="L5" i="1"/>
  <c r="B28" i="3" s="1"/>
  <c r="L10" i="1"/>
  <c r="B29" i="3" s="1"/>
  <c r="B13"/>
  <c r="C14" s="1"/>
  <c r="B12"/>
  <c r="C11" s="1"/>
  <c r="F5"/>
  <c r="B2"/>
  <c r="E6" s="1"/>
  <c r="D6" s="1"/>
  <c r="E34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G6"/>
  <c r="F6" s="1"/>
  <c r="G8"/>
  <c r="G10"/>
  <c r="F10" s="1"/>
  <c r="F8"/>
  <c r="N9"/>
  <c r="AA9" s="1"/>
  <c r="N7"/>
  <c r="AA7" s="1"/>
  <c r="E57" i="6"/>
  <c r="C58"/>
  <c r="G16" i="3"/>
  <c r="F16" s="1"/>
  <c r="G18"/>
  <c r="F18" s="1"/>
  <c r="N15"/>
  <c r="AA15" s="1"/>
  <c r="E59" i="6"/>
  <c r="N17" i="3"/>
  <c r="AA17" s="1"/>
  <c r="C60" i="6"/>
  <c r="D60" s="1"/>
  <c r="G24" i="3"/>
  <c r="F24" s="1"/>
  <c r="G26"/>
  <c r="F26" s="1"/>
  <c r="N23"/>
  <c r="AA23" s="1"/>
  <c r="E61" i="6"/>
  <c r="N25" i="3"/>
  <c r="AA25" s="1"/>
  <c r="C62" i="6"/>
  <c r="G32" i="3"/>
  <c r="F32" s="1"/>
  <c r="G34"/>
  <c r="F34" s="1"/>
  <c r="G35"/>
  <c r="F35" s="1"/>
  <c r="N33"/>
  <c r="AA33" s="1"/>
  <c r="C64" i="6"/>
  <c r="D64" s="1"/>
  <c r="E18" i="3" l="1"/>
  <c r="E26"/>
  <c r="E10"/>
  <c r="E35"/>
  <c r="E32"/>
  <c r="E24"/>
  <c r="E16"/>
  <c r="E8"/>
  <c r="D62" i="6"/>
  <c r="G12" i="3"/>
  <c r="F12" s="1"/>
  <c r="G13"/>
  <c r="F13" s="1"/>
  <c r="G20"/>
  <c r="F20" s="1"/>
  <c r="G21"/>
  <c r="F21" s="1"/>
  <c r="C30"/>
  <c r="G29"/>
  <c r="F29" s="1"/>
  <c r="B6"/>
  <c r="D7"/>
  <c r="G11"/>
  <c r="F11" s="1"/>
  <c r="E11"/>
  <c r="G19"/>
  <c r="F19" s="1"/>
  <c r="E19"/>
  <c r="C27"/>
  <c r="G28"/>
  <c r="F28" s="1"/>
  <c r="E14"/>
  <c r="G14"/>
  <c r="F14" s="1"/>
  <c r="E22"/>
  <c r="G22"/>
  <c r="F22" s="1"/>
  <c r="P5" i="1"/>
  <c r="I20" i="13"/>
  <c r="R8" i="3"/>
  <c r="AC8" s="1"/>
  <c r="T12"/>
  <c r="AD12" s="1"/>
  <c r="G11" i="13"/>
  <c r="H10" i="3"/>
  <c r="I10"/>
  <c r="H8"/>
  <c r="I8"/>
  <c r="H6"/>
  <c r="I6"/>
  <c r="I7"/>
  <c r="I9"/>
  <c r="H36"/>
  <c r="I36"/>
  <c r="H5"/>
  <c r="I5"/>
  <c r="I11"/>
  <c r="H12"/>
  <c r="I12"/>
  <c r="H20"/>
  <c r="I20"/>
  <c r="H21"/>
  <c r="I21"/>
  <c r="H29"/>
  <c r="I29"/>
  <c r="H35"/>
  <c r="I35"/>
  <c r="H34"/>
  <c r="I34"/>
  <c r="I33"/>
  <c r="H32"/>
  <c r="I32"/>
  <c r="I31"/>
  <c r="I30"/>
  <c r="I27"/>
  <c r="H26"/>
  <c r="I26"/>
  <c r="I25"/>
  <c r="H24"/>
  <c r="I24"/>
  <c r="I23"/>
  <c r="I22"/>
  <c r="I19"/>
  <c r="H18"/>
  <c r="I18"/>
  <c r="I17"/>
  <c r="H16"/>
  <c r="I16"/>
  <c r="I15"/>
  <c r="H14"/>
  <c r="I14"/>
  <c r="H13"/>
  <c r="I13"/>
  <c r="H28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H22" i="3" l="1"/>
  <c r="E27"/>
  <c r="G27"/>
  <c r="H19"/>
  <c r="B7"/>
  <c r="G7" s="1"/>
  <c r="D8"/>
  <c r="O5" i="1"/>
  <c r="N5" s="1"/>
  <c r="P6"/>
  <c r="H11" i="3"/>
  <c r="E30"/>
  <c r="G30"/>
  <c r="X28"/>
  <c r="X13"/>
  <c r="X14"/>
  <c r="X15"/>
  <c r="X16"/>
  <c r="X17"/>
  <c r="X18"/>
  <c r="X19"/>
  <c r="X22"/>
  <c r="X23"/>
  <c r="X24"/>
  <c r="X25"/>
  <c r="X26"/>
  <c r="X27"/>
  <c r="X30"/>
  <c r="X31"/>
  <c r="X32"/>
  <c r="X33"/>
  <c r="X34"/>
  <c r="X35"/>
  <c r="X29"/>
  <c r="X21"/>
  <c r="X20"/>
  <c r="X12"/>
  <c r="X11"/>
  <c r="X36"/>
  <c r="X9"/>
  <c r="X7"/>
  <c r="X6"/>
  <c r="X8"/>
  <c r="X10"/>
  <c r="X5"/>
  <c r="H11" i="13"/>
  <c r="I11"/>
  <c r="L5" i="3"/>
  <c r="J5"/>
  <c r="K5" s="1"/>
  <c r="L36"/>
  <c r="J36"/>
  <c r="K36" s="1"/>
  <c r="L9"/>
  <c r="J9"/>
  <c r="K9" s="1"/>
  <c r="L7"/>
  <c r="J7"/>
  <c r="K7" s="1"/>
  <c r="L6"/>
  <c r="J6"/>
  <c r="K6" s="1"/>
  <c r="L8"/>
  <c r="J8"/>
  <c r="K8" s="1"/>
  <c r="L10"/>
  <c r="J10"/>
  <c r="K10" s="1"/>
  <c r="L29"/>
  <c r="J29"/>
  <c r="K29" s="1"/>
  <c r="L21"/>
  <c r="J21"/>
  <c r="K21" s="1"/>
  <c r="L20"/>
  <c r="J20"/>
  <c r="K20" s="1"/>
  <c r="L12"/>
  <c r="J12"/>
  <c r="K12" s="1"/>
  <c r="L11"/>
  <c r="J11"/>
  <c r="K11" s="1"/>
  <c r="L28"/>
  <c r="J28"/>
  <c r="K28" s="1"/>
  <c r="L13"/>
  <c r="J13"/>
  <c r="K13" s="1"/>
  <c r="L14"/>
  <c r="J14"/>
  <c r="K14" s="1"/>
  <c r="L15"/>
  <c r="J15"/>
  <c r="K15" s="1"/>
  <c r="L16"/>
  <c r="J16"/>
  <c r="K16" s="1"/>
  <c r="L17"/>
  <c r="J17"/>
  <c r="K17" s="1"/>
  <c r="L18"/>
  <c r="J18"/>
  <c r="K18" s="1"/>
  <c r="L19"/>
  <c r="J19"/>
  <c r="K19" s="1"/>
  <c r="L22"/>
  <c r="J22"/>
  <c r="K22" s="1"/>
  <c r="N21"/>
  <c r="L23"/>
  <c r="J23"/>
  <c r="K23" s="1"/>
  <c r="L24"/>
  <c r="J24"/>
  <c r="K24" s="1"/>
  <c r="L25"/>
  <c r="J25"/>
  <c r="K25" s="1"/>
  <c r="L26"/>
  <c r="J26"/>
  <c r="K26" s="1"/>
  <c r="L27"/>
  <c r="J27"/>
  <c r="K27" s="1"/>
  <c r="L30"/>
  <c r="J30"/>
  <c r="K30" s="1"/>
  <c r="L31"/>
  <c r="J31"/>
  <c r="K31" s="1"/>
  <c r="L32"/>
  <c r="J32"/>
  <c r="Y32" s="1"/>
  <c r="N31"/>
  <c r="L33"/>
  <c r="J33"/>
  <c r="K33" s="1"/>
  <c r="L34"/>
  <c r="J34"/>
  <c r="K34" s="1"/>
  <c r="L35"/>
  <c r="J35"/>
  <c r="K35" s="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F7" i="3" l="1"/>
  <c r="H7"/>
  <c r="O6" i="1"/>
  <c r="N6" s="1"/>
  <c r="P7"/>
  <c r="F30" i="3"/>
  <c r="H30"/>
  <c r="F27"/>
  <c r="H27"/>
  <c r="D9"/>
  <c r="B8"/>
  <c r="K32"/>
  <c r="E7" i="6"/>
  <c r="D7" s="1"/>
  <c r="I8" i="13"/>
  <c r="L7" s="1"/>
  <c r="E25" i="6" s="1"/>
  <c r="D25" s="1"/>
  <c r="I28" i="13"/>
  <c r="C53" i="6"/>
  <c r="Y35" i="3"/>
  <c r="E52" i="6"/>
  <c r="Y34" i="3"/>
  <c r="C52" i="6"/>
  <c r="D52" s="1"/>
  <c r="Y33" i="3"/>
  <c r="P30"/>
  <c r="AA31"/>
  <c r="C51" i="6"/>
  <c r="Y31" i="3"/>
  <c r="E50" i="6"/>
  <c r="Y30" i="3"/>
  <c r="C49" i="6"/>
  <c r="Y27" i="3"/>
  <c r="E48" i="6"/>
  <c r="Y26" i="3"/>
  <c r="C48" i="6"/>
  <c r="Y25" i="3"/>
  <c r="E47" i="6"/>
  <c r="Y24" i="3"/>
  <c r="C47" i="6"/>
  <c r="D47" s="1"/>
  <c r="Y23" i="3"/>
  <c r="P22"/>
  <c r="AA21"/>
  <c r="E46" i="6"/>
  <c r="Y22" i="3"/>
  <c r="C45" i="6"/>
  <c r="Y19" i="3"/>
  <c r="E44" i="6"/>
  <c r="Y18" i="3"/>
  <c r="C44" i="6"/>
  <c r="D44" s="1"/>
  <c r="Y17" i="3"/>
  <c r="E43" i="6"/>
  <c r="Y16" i="3"/>
  <c r="C43" i="6"/>
  <c r="D43" s="1"/>
  <c r="Y15" i="3"/>
  <c r="E42" i="6"/>
  <c r="Y14" i="3"/>
  <c r="C42" i="6"/>
  <c r="D42" s="1"/>
  <c r="Y13" i="3"/>
  <c r="E49" i="6"/>
  <c r="Y28" i="3"/>
  <c r="C41" i="6"/>
  <c r="Y11" i="3"/>
  <c r="E41" i="6"/>
  <c r="Y12" i="3"/>
  <c r="E45" i="6"/>
  <c r="Y20" i="3"/>
  <c r="C46" i="6"/>
  <c r="Y21" i="3"/>
  <c r="C50" i="6"/>
  <c r="Y29" i="3"/>
  <c r="E40" i="6"/>
  <c r="Y10" i="3"/>
  <c r="E39" i="6"/>
  <c r="Y8" i="3"/>
  <c r="E38" i="6"/>
  <c r="Y6" i="3"/>
  <c r="C39" i="6"/>
  <c r="Y7" i="3"/>
  <c r="C40" i="6"/>
  <c r="D40" s="1"/>
  <c r="Y9" i="3"/>
  <c r="E53" i="6"/>
  <c r="Y36" i="3"/>
  <c r="C38" i="6"/>
  <c r="D38" s="1"/>
  <c r="Y5" i="3"/>
  <c r="D39" i="6"/>
  <c r="E63"/>
  <c r="D63" s="1"/>
  <c r="E51"/>
  <c r="G25" i="1"/>
  <c r="F25" s="1"/>
  <c r="F24"/>
  <c r="E24" s="1"/>
  <c r="D16" i="13"/>
  <c r="F36"/>
  <c r="G36" s="1"/>
  <c r="H10"/>
  <c r="I10" s="1"/>
  <c r="D51" i="6" l="1"/>
  <c r="D48"/>
  <c r="O7" i="1"/>
  <c r="N7" s="1"/>
  <c r="P8"/>
  <c r="D10" i="3"/>
  <c r="B9"/>
  <c r="G9" s="1"/>
  <c r="D41" i="6"/>
  <c r="D45"/>
  <c r="D46"/>
  <c r="R24" i="3"/>
  <c r="AC24" s="1"/>
  <c r="AB22"/>
  <c r="D49" i="6"/>
  <c r="D50"/>
  <c r="R32" i="3"/>
  <c r="AB30"/>
  <c r="D53" i="6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F9" i="3" l="1"/>
  <c r="H9"/>
  <c r="B10"/>
  <c r="D11"/>
  <c r="O8" i="1"/>
  <c r="N8" s="1"/>
  <c r="P9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B11" i="3" l="1"/>
  <c r="D12"/>
  <c r="D13" s="1"/>
  <c r="D14" s="1"/>
  <c r="O9" i="1"/>
  <c r="N9" s="1"/>
  <c r="P10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O10" i="1" l="1"/>
  <c r="P11"/>
  <c r="N10"/>
  <c r="B14" i="3"/>
  <c r="D15"/>
  <c r="E10" i="6"/>
  <c r="D10" s="1"/>
  <c r="G29" i="1"/>
  <c r="F29" s="1"/>
  <c r="E29" s="1"/>
  <c r="D21" i="13"/>
  <c r="D22" s="1"/>
  <c r="B22" s="1"/>
  <c r="J15"/>
  <c r="H15"/>
  <c r="B15" i="3" l="1"/>
  <c r="G15" s="1"/>
  <c r="D16"/>
  <c r="O11" i="1"/>
  <c r="N11" s="1"/>
  <c r="P12"/>
  <c r="C11" i="6"/>
  <c r="I15" i="13"/>
  <c r="G30" i="1"/>
  <c r="F30" s="1"/>
  <c r="E30" s="1"/>
  <c r="D23" i="13"/>
  <c r="B23" s="1"/>
  <c r="J16"/>
  <c r="H16"/>
  <c r="F15" i="3" l="1"/>
  <c r="H15"/>
  <c r="O12" i="1"/>
  <c r="N12" s="1"/>
  <c r="P13"/>
  <c r="B16" i="3"/>
  <c r="D17"/>
  <c r="E11" i="6"/>
  <c r="D11" s="1"/>
  <c r="I16" i="13"/>
  <c r="L15" s="1"/>
  <c r="N14"/>
  <c r="D24"/>
  <c r="H18"/>
  <c r="I18" s="1"/>
  <c r="O13" i="1" l="1"/>
  <c r="N13" s="1"/>
  <c r="P14"/>
  <c r="B17" i="3"/>
  <c r="G17" s="1"/>
  <c r="D18"/>
  <c r="E27" i="6"/>
  <c r="D27" s="1"/>
  <c r="L17" i="13"/>
  <c r="C28" i="6" s="1"/>
  <c r="H63" i="13"/>
  <c r="D25"/>
  <c r="D26" s="1"/>
  <c r="B26" s="1"/>
  <c r="J18"/>
  <c r="E12" i="6" s="1"/>
  <c r="D12" s="1"/>
  <c r="O14" i="1" l="1"/>
  <c r="P15"/>
  <c r="B18" i="3"/>
  <c r="D19"/>
  <c r="N14" i="1"/>
  <c r="F17" i="3"/>
  <c r="H17"/>
  <c r="N18" i="13"/>
  <c r="D27"/>
  <c r="B27" s="1"/>
  <c r="F22"/>
  <c r="J19"/>
  <c r="H19"/>
  <c r="L19"/>
  <c r="F23"/>
  <c r="G23" s="1"/>
  <c r="B19" i="3" l="1"/>
  <c r="D20"/>
  <c r="D21" s="1"/>
  <c r="D22" s="1"/>
  <c r="O15" i="1"/>
  <c r="N15" s="1"/>
  <c r="P16"/>
  <c r="E28" i="6"/>
  <c r="D28" s="1"/>
  <c r="C13"/>
  <c r="D13" s="1"/>
  <c r="I19" i="13"/>
  <c r="G22"/>
  <c r="F27"/>
  <c r="G27" s="1"/>
  <c r="D28"/>
  <c r="J23"/>
  <c r="H23"/>
  <c r="C15" i="6" s="1"/>
  <c r="F26" i="13"/>
  <c r="G26" s="1"/>
  <c r="O16" i="1" l="1"/>
  <c r="N16" s="1"/>
  <c r="P17"/>
  <c r="D23" i="3"/>
  <c r="B22"/>
  <c r="I23" i="13"/>
  <c r="J22"/>
  <c r="H22"/>
  <c r="E14" i="6" s="1"/>
  <c r="D14" s="1"/>
  <c r="D29" i="13"/>
  <c r="D30" s="1"/>
  <c r="B30" s="1"/>
  <c r="J24"/>
  <c r="H24"/>
  <c r="O17" i="1" l="1"/>
  <c r="N17" s="1"/>
  <c r="P18"/>
  <c r="D24" i="3"/>
  <c r="B23"/>
  <c r="G23" s="1"/>
  <c r="E15" i="6"/>
  <c r="D15" s="1"/>
  <c r="I24" i="13"/>
  <c r="L23" s="1"/>
  <c r="I22"/>
  <c r="D31"/>
  <c r="B31" s="1"/>
  <c r="H26"/>
  <c r="I26" s="1"/>
  <c r="D25" i="3" l="1"/>
  <c r="B24"/>
  <c r="O18" i="1"/>
  <c r="N18" s="1"/>
  <c r="P19"/>
  <c r="F23" i="3"/>
  <c r="H23"/>
  <c r="E29" i="6"/>
  <c r="D29" s="1"/>
  <c r="L25" i="13"/>
  <c r="H65"/>
  <c r="F31"/>
  <c r="G31" s="1"/>
  <c r="D32"/>
  <c r="J26"/>
  <c r="E16" i="6" s="1"/>
  <c r="D16" s="1"/>
  <c r="F30" i="13"/>
  <c r="G30" s="1"/>
  <c r="D26" i="3" l="1"/>
  <c r="B25"/>
  <c r="G25" s="1"/>
  <c r="O19" i="1"/>
  <c r="N19" s="1"/>
  <c r="P20"/>
  <c r="N26" i="13"/>
  <c r="C30" i="6"/>
  <c r="D33" i="13"/>
  <c r="D34" s="1"/>
  <c r="B34" s="1"/>
  <c r="J27"/>
  <c r="H27"/>
  <c r="L27"/>
  <c r="E30" i="6" s="1"/>
  <c r="H30" i="13"/>
  <c r="I30" s="1"/>
  <c r="F25" i="3" l="1"/>
  <c r="H25"/>
  <c r="D27"/>
  <c r="B26"/>
  <c r="O20" i="1"/>
  <c r="N20" s="1"/>
  <c r="P21"/>
  <c r="D30" i="6"/>
  <c r="C17"/>
  <c r="D17" s="1"/>
  <c r="I27" i="13"/>
  <c r="D35"/>
  <c r="B35" s="1"/>
  <c r="J30"/>
  <c r="E18" i="6" s="1"/>
  <c r="D18" s="1"/>
  <c r="B27" i="3" l="1"/>
  <c r="D28"/>
  <c r="D29" s="1"/>
  <c r="D30" s="1"/>
  <c r="O21" i="1"/>
  <c r="N21" s="1"/>
  <c r="P22"/>
  <c r="D36" i="13"/>
  <c r="J31"/>
  <c r="H31"/>
  <c r="F34"/>
  <c r="G34" s="1"/>
  <c r="B30" i="3" l="1"/>
  <c r="D31"/>
  <c r="O22" i="1"/>
  <c r="N22" s="1"/>
  <c r="P23"/>
  <c r="C19" i="6"/>
  <c r="I31" i="13"/>
  <c r="J32"/>
  <c r="H32"/>
  <c r="F35"/>
  <c r="G35" s="1"/>
  <c r="B31" i="3" l="1"/>
  <c r="G31" s="1"/>
  <c r="D32"/>
  <c r="O23" i="1"/>
  <c r="N23" s="1"/>
  <c r="P24"/>
  <c r="E19" i="6"/>
  <c r="D19" s="1"/>
  <c r="I32" i="13"/>
  <c r="L31" s="1"/>
  <c r="H34"/>
  <c r="I34" s="1"/>
  <c r="B32" i="3" l="1"/>
  <c r="D33"/>
  <c r="F31"/>
  <c r="H31"/>
  <c r="O24" i="1"/>
  <c r="N24" s="1"/>
  <c r="P25"/>
  <c r="E31" i="6"/>
  <c r="D31" s="1"/>
  <c r="L33" i="13"/>
  <c r="H67"/>
  <c r="J34"/>
  <c r="E20" i="6" s="1"/>
  <c r="D20" s="1"/>
  <c r="O25" i="1" l="1"/>
  <c r="N25" s="1"/>
  <c r="P26"/>
  <c r="B33" i="3"/>
  <c r="G33" s="1"/>
  <c r="D34"/>
  <c r="N34" i="13"/>
  <c r="C32" i="6"/>
  <c r="J35" i="13"/>
  <c r="H35"/>
  <c r="O26" i="1" l="1"/>
  <c r="N26" s="1"/>
  <c r="P27"/>
  <c r="F33" i="3"/>
  <c r="H33"/>
  <c r="B34"/>
  <c r="D35"/>
  <c r="C21" i="6"/>
  <c r="D21" s="1"/>
  <c r="I35" i="13"/>
  <c r="L35" s="1"/>
  <c r="D36" i="3" l="1"/>
  <c r="B35"/>
  <c r="O27" i="1"/>
  <c r="N27" s="1"/>
  <c r="P28"/>
  <c r="E32" i="6"/>
  <c r="D32" s="1"/>
  <c r="O28" i="1" l="1"/>
  <c r="N28" s="1"/>
  <c r="P29"/>
  <c r="D77" i="6"/>
  <c r="O29" i="1" l="1"/>
  <c r="N29" s="1"/>
  <c r="P30"/>
  <c r="D78" i="6"/>
  <c r="O30" i="1" l="1"/>
  <c r="N30" s="1"/>
  <c r="P31"/>
  <c r="D79" i="6"/>
  <c r="O31" i="1" l="1"/>
  <c r="N31" s="1"/>
  <c r="P32"/>
  <c r="D80" i="6"/>
  <c r="O32" i="1" l="1"/>
  <c r="N32" s="1"/>
  <c r="P33"/>
  <c r="D81" i="6"/>
  <c r="O33" i="1" l="1"/>
  <c r="N33" s="1"/>
  <c r="P34"/>
  <c r="D82" i="6"/>
  <c r="O34" i="1" l="1"/>
  <c r="N34" s="1"/>
  <c r="P35"/>
  <c r="O35" s="1"/>
  <c r="N35" l="1"/>
</calcChain>
</file>

<file path=xl/sharedStrings.xml><?xml version="1.0" encoding="utf-8"?>
<sst xmlns="http://schemas.openxmlformats.org/spreadsheetml/2006/main" count="459" uniqueCount="149">
  <si>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</si>
  <si>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</si>
  <si>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</si>
  <si>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</si>
  <si>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</si>
  <si>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</si>
  <si>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</si>
  <si>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</si>
  <si>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</si>
  <si>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</si>
  <si>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</si>
  <si>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</si>
  <si>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</si>
  <si>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</si>
  <si>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</si>
  <si>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</si>
  <si>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</si>
  <si>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</si>
  <si>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</si>
  <si>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</si>
  <si>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</si>
  <si>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</si>
  <si>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</si>
  <si>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</si>
  <si>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</si>
  <si>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</si>
  <si>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</si>
  <si>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</si>
  <si>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</si>
  <si>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</si>
  <si>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</si>
  <si>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</si>
  <si>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</si>
  <si>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</si>
  <si>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</si>
  <si>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</si>
  <si>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</si>
  <si>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</si>
  <si>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</si>
  <si>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</si>
  <si>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</si>
  <si>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</si>
  <si>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</si>
  <si>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</si>
  <si>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</si>
  <si>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</si>
  <si>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</si>
  <si>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</si>
  <si>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</si>
  <si>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</si>
  <si>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</si>
  <si>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</si>
  <si>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</si>
  <si>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</si>
  <si>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</si>
  <si>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</si>
  <si>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</si>
  <si>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</si>
  <si>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</si>
  <si>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</si>
  <si>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</si>
  <si>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</si>
  <si>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</si>
  <si>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</si>
  <si>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</si>
  <si>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</si>
  <si>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</si>
  <si>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</si>
  <si>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</si>
  <si>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</si>
  <si>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</si>
  <si>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</si>
  <si>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</si>
  <si>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</si>
  <si>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</si>
  <si>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</si>
  <si>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</si>
  <si>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</si>
  <si>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</si>
  <si>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</si>
  <si>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</si>
  <si>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</si>
  <si>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</si>
  <si>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</si>
  <si>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</si>
  <si>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</si>
  <si>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</si>
  <si>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</si>
  <si>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</si>
  <si>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</si>
  <si>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</si>
  <si>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</si>
  <si>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</si>
  <si>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</si>
  <si>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</si>
  <si>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</si>
  <si>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</si>
  <si>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</si>
  <si>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</si>
  <si>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</si>
  <si>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</si>
  <si>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</si>
  <si>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</si>
  <si>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</si>
  <si>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</si>
  <si>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</si>
  <si>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</si>
  <si>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</si>
  <si>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</si>
  <si>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</si>
  <si>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</si>
  <si>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</si>
  <si>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</si>
  <si>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5 6 8 7</t>
  </si>
  <si>
    <t xml:space="preserve">0 0 0 0 0 0 0 0 0 0 0 0 0 0 0 0 1 2 3 4 5 6 7 8 10 9 14 16 12 13 11 15 </t>
  </si>
  <si>
    <t>e2-12</t>
  </si>
  <si>
    <t>Ζ΄ ΕΝΩΣΗ</t>
  </si>
  <si>
    <t>3ο Ε3 2014</t>
  </si>
  <si>
    <t>27</t>
  </si>
  <si>
    <t xml:space="preserve">28 Σεπτεμβρίου </t>
  </si>
  <si>
    <t>Γ.Σ. ΛΙΒΥΚΟΣ ΙΕΡΑΠΕΤΡΑΣ</t>
  </si>
  <si>
    <t>Μαρίνα Μουτσάκη</t>
  </si>
  <si>
    <t>Κ14</t>
  </si>
  <si>
    <t>ΓΑΛΑΝΑΚΗ ΖΑΧΑΡΕΝΙΑ</t>
  </si>
  <si>
    <t>ΜΙΟΥΜΠΗ ΜΥΡΙΑΜ</t>
  </si>
  <si>
    <t>Ο.Α.ΧΑΝΙΩΝ</t>
  </si>
  <si>
    <t>ΚΟΥΡΙΔΑΚΗ ΑΘΗΝΑ</t>
  </si>
  <si>
    <t>ΚΟΥΚΛΑΚΗ ΕΥΓΕΝΙΑ</t>
  </si>
  <si>
    <t>ΒΑΡΒΕΡΑΚΗ ΜΑΡΙΑ</t>
  </si>
  <si>
    <t>30596</t>
  </si>
  <si>
    <t>ΚΡΟΝΤΗΡΑ ΕΛΕΝΑ</t>
  </si>
  <si>
    <t>"ΗΡΑΚΛΕΙΟ" Ο.Α.Α.</t>
  </si>
  <si>
    <t>30449</t>
  </si>
  <si>
    <t>ΚΑΠΕΤΑΝΑΚΗ ΕΛΕΝΑ</t>
  </si>
  <si>
    <t>31852</t>
  </si>
  <si>
    <t>ΒΕΛΙΒΑΣΣΑΚΗ ΧΑΡΑ</t>
  </si>
  <si>
    <t>ΜΠΑΛΑΣΚΑ ΒΑΣΙΛΙΚΗ</t>
  </si>
  <si>
    <t>Ο Α ΣΟΥΔΑΣ</t>
  </si>
  <si>
    <t>ΜΑΡΝΑΙΛΟΥ ΜΑΙΡΗ</t>
  </si>
  <si>
    <t>3 4</t>
  </si>
  <si>
    <t xml:space="preserve">0 0 0 0 0 0 1 2 3 4 6 9 5 8 10 7 </t>
  </si>
  <si>
    <t>6-3,6-4</t>
  </si>
  <si>
    <t>6-0,6-1</t>
  </si>
  <si>
    <t>6-1,6-2</t>
  </si>
  <si>
    <t>6-4,6-2</t>
  </si>
  <si>
    <t>6-0,6-0</t>
  </si>
  <si>
    <t>6-1,6-3</t>
  </si>
  <si>
    <t>3-6,6-2 (10-7)</t>
  </si>
  <si>
    <t>6-4,1-6,6-1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</si>
</sst>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586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5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5" fillId="7" borderId="14" xfId="0" applyNumberFormat="1" applyFont="1" applyFill="1" applyBorder="1" applyAlignment="1" applyProtection="1">
      <alignment horizontal="left" vertical="center"/>
      <protection locked="0"/>
    </xf>
    <xf numFmtId="0" fontId="45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 applyProtection="1">
      <alignment vertical="center"/>
      <protection locked="0"/>
    </xf>
    <xf numFmtId="0" fontId="46" fillId="0" borderId="4" xfId="0" applyNumberFormat="1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46" fillId="0" borderId="5" xfId="0" applyNumberFormat="1" applyFont="1" applyFill="1" applyBorder="1" applyAlignment="1" applyProtection="1">
      <alignment vertical="center"/>
      <protection locked="0"/>
    </xf>
    <xf numFmtId="0" fontId="46" fillId="0" borderId="15" xfId="0" applyNumberFormat="1" applyFont="1" applyFill="1" applyBorder="1" applyAlignment="1" applyProtection="1">
      <alignment vertical="center"/>
      <protection locked="0"/>
    </xf>
    <xf numFmtId="0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3" xfId="0" applyNumberFormat="1" applyFont="1" applyFill="1" applyBorder="1" applyAlignment="1" applyProtection="1">
      <alignment vertical="center"/>
      <protection locked="0"/>
    </xf>
    <xf numFmtId="0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NumberFormat="1" applyFont="1" applyFill="1" applyBorder="1" applyAlignment="1" applyProtection="1">
      <alignment horizontal="center" vertical="center"/>
      <protection locked="0"/>
    </xf>
    <xf numFmtId="0" fontId="46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4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49" fillId="7" borderId="13" xfId="0" applyFont="1" applyFill="1" applyBorder="1" applyAlignment="1" applyProtection="1">
      <alignment horizontal="left" vertical="center"/>
      <protection locked="0"/>
    </xf>
    <xf numFmtId="0" fontId="49" fillId="7" borderId="15" xfId="0" applyFont="1" applyFill="1" applyBorder="1" applyAlignment="1" applyProtection="1">
      <alignment horizontal="left" vertical="center"/>
      <protection locked="0"/>
    </xf>
    <xf numFmtId="0" fontId="50" fillId="7" borderId="15" xfId="0" applyFont="1" applyFill="1" applyBorder="1" applyAlignment="1" applyProtection="1">
      <alignment horizontal="left" vertical="center"/>
      <protection locked="0"/>
    </xf>
    <xf numFmtId="49" fontId="49" fillId="7" borderId="15" xfId="0" applyNumberFormat="1" applyFont="1" applyFill="1" applyBorder="1" applyAlignment="1" applyProtection="1">
      <alignment horizontal="left" vertical="center"/>
      <protection locked="0"/>
    </xf>
    <xf numFmtId="0" fontId="49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2" fillId="7" borderId="13" xfId="0" applyFont="1" applyFill="1" applyBorder="1" applyAlignment="1" applyProtection="1">
      <alignment horizontal="left" vertical="center"/>
      <protection locked="0"/>
    </xf>
    <xf numFmtId="0" fontId="52" fillId="7" borderId="15" xfId="0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2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2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54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56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4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7" fillId="0" borderId="0" xfId="0" applyNumberFormat="1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quotePrefix="1" applyNumberFormat="1" applyFont="1" applyFill="1" applyBorder="1" applyAlignment="1" applyProtection="1">
      <alignment vertical="center"/>
    </xf>
    <xf numFmtId="0" fontId="60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61" fillId="0" borderId="10" xfId="0" applyFont="1" applyBorder="1" applyAlignment="1" applyProtection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164" fontId="61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</xf>
    <xf numFmtId="164" fontId="62" fillId="0" borderId="4" xfId="0" applyNumberFormat="1" applyFont="1" applyBorder="1" applyAlignment="1" applyProtection="1">
      <alignment horizontal="center" vertical="center"/>
      <protection locked="0"/>
    </xf>
    <xf numFmtId="0" fontId="62" fillId="4" borderId="3" xfId="0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</xf>
    <xf numFmtId="164" fontId="62" fillId="0" borderId="5" xfId="0" applyNumberFormat="1" applyFont="1" applyBorder="1" applyAlignment="1" applyProtection="1">
      <alignment horizontal="center" vertical="center"/>
      <protection locked="0"/>
    </xf>
    <xf numFmtId="0" fontId="62" fillId="4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2" fillId="4" borderId="9" xfId="0" applyFont="1" applyFill="1" applyBorder="1" applyAlignment="1" applyProtection="1">
      <alignment horizontal="center" vertical="center"/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</xf>
    <xf numFmtId="164" fontId="62" fillId="0" borderId="7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4" fillId="11" borderId="8" xfId="0" quotePrefix="1" applyFont="1" applyFill="1" applyBorder="1" applyAlignment="1" applyProtection="1">
      <alignment horizontal="center" vertical="center"/>
      <protection locked="0"/>
    </xf>
    <xf numFmtId="0" fontId="64" fillId="11" borderId="11" xfId="0" quotePrefix="1" applyFont="1" applyFill="1" applyBorder="1" applyAlignment="1" applyProtection="1">
      <alignment horizontal="center" vertical="center"/>
      <protection locked="0"/>
    </xf>
    <xf numFmtId="0" fontId="64" fillId="11" borderId="8" xfId="0" applyFont="1" applyFill="1" applyBorder="1" applyAlignment="1" applyProtection="1">
      <alignment horizontal="center" vertical="center"/>
      <protection locked="0"/>
    </xf>
    <xf numFmtId="0" fontId="64" fillId="11" borderId="11" xfId="0" applyFont="1" applyFill="1" applyBorder="1" applyAlignment="1" applyProtection="1">
      <alignment horizontal="center" vertical="center"/>
      <protection locked="0"/>
    </xf>
    <xf numFmtId="0" fontId="64" fillId="11" borderId="13" xfId="0" quotePrefix="1" applyFont="1" applyFill="1" applyBorder="1" applyAlignment="1" applyProtection="1">
      <alignment horizontal="center" vertical="center"/>
      <protection locked="0"/>
    </xf>
    <xf numFmtId="0" fontId="64" fillId="11" borderId="13" xfId="0" applyFont="1" applyFill="1" applyBorder="1" applyAlignment="1" applyProtection="1">
      <alignment horizontal="center" vertical="center"/>
      <protection locked="0"/>
    </xf>
    <xf numFmtId="0" fontId="64" fillId="11" borderId="4" xfId="0" applyFont="1" applyFill="1" applyBorder="1" applyAlignment="1" applyProtection="1">
      <alignment horizontal="center" vertical="center"/>
      <protection locked="0"/>
    </xf>
    <xf numFmtId="0" fontId="64" fillId="12" borderId="1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64" fillId="12" borderId="9" xfId="0" applyFont="1" applyFill="1" applyBorder="1" applyAlignment="1" applyProtection="1">
      <alignment horizontal="center" vertical="center"/>
      <protection locked="0"/>
    </xf>
    <xf numFmtId="0" fontId="64" fillId="13" borderId="13" xfId="0" applyFont="1" applyFill="1" applyBorder="1" applyAlignment="1" applyProtection="1">
      <alignment horizontal="center" vertical="center"/>
      <protection locked="0"/>
    </xf>
    <xf numFmtId="0" fontId="64" fillId="13" borderId="4" xfId="0" applyFont="1" applyFill="1" applyBorder="1" applyAlignment="1" applyProtection="1">
      <alignment horizontal="center" vertical="center"/>
      <protection locked="0"/>
    </xf>
    <xf numFmtId="0" fontId="64" fillId="13" borderId="15" xfId="0" applyFont="1" applyFill="1" applyBorder="1" applyAlignment="1" applyProtection="1">
      <alignment horizontal="center" vertical="center"/>
      <protection locked="0"/>
    </xf>
    <xf numFmtId="0" fontId="64" fillId="13" borderId="5" xfId="0" applyFont="1" applyFill="1" applyBorder="1" applyAlignment="1" applyProtection="1">
      <alignment horizontal="center" vertical="center"/>
      <protection locked="0"/>
    </xf>
    <xf numFmtId="0" fontId="64" fillId="13" borderId="14" xfId="0" applyFont="1" applyFill="1" applyBorder="1" applyAlignment="1" applyProtection="1">
      <alignment horizontal="center" vertical="center"/>
      <protection locked="0"/>
    </xf>
    <xf numFmtId="0" fontId="64" fillId="13" borderId="7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11" borderId="15" xfId="0" quotePrefix="1" applyFont="1" applyFill="1" applyBorder="1" applyAlignment="1" applyProtection="1">
      <alignment horizontal="center" vertical="center"/>
      <protection locked="0"/>
    </xf>
    <xf numFmtId="0" fontId="64" fillId="11" borderId="15" xfId="0" applyFont="1" applyFill="1" applyBorder="1" applyAlignment="1" applyProtection="1">
      <alignment horizontal="center" vertical="center"/>
      <protection locked="0"/>
    </xf>
    <xf numFmtId="0" fontId="64" fillId="11" borderId="5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4" fillId="0" borderId="3" xfId="0" applyFont="1" applyFill="1" applyBorder="1" applyAlignment="1" applyProtection="1">
      <alignment horizontal="center" vertical="center"/>
      <protection locked="0"/>
    </xf>
    <xf numFmtId="0" fontId="64" fillId="0" borderId="1" xfId="0" applyFont="1" applyFill="1" applyBorder="1" applyAlignment="1" applyProtection="1">
      <alignment horizontal="center" vertical="center"/>
      <protection locked="0"/>
    </xf>
    <xf numFmtId="0" fontId="64" fillId="0" borderId="4" xfId="0" applyFont="1" applyFill="1" applyBorder="1" applyAlignment="1" applyProtection="1">
      <alignment horizontal="center" vertical="center"/>
      <protection locked="0"/>
    </xf>
    <xf numFmtId="0" fontId="64" fillId="0" borderId="6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5" xfId="0" applyFont="1" applyFill="1" applyBorder="1" applyAlignment="1" applyProtection="1">
      <alignment horizontal="center" vertical="center"/>
      <protection locked="0"/>
    </xf>
    <xf numFmtId="0" fontId="67" fillId="12" borderId="10" xfId="0" applyFont="1" applyFill="1" applyBorder="1" applyAlignment="1" applyProtection="1">
      <alignment horizontal="center" vertical="center"/>
      <protection locked="0"/>
    </xf>
    <xf numFmtId="0" fontId="64" fillId="0" borderId="9" xfId="0" applyFont="1" applyFill="1" applyBorder="1" applyAlignment="1" applyProtection="1">
      <alignment horizontal="center" vertical="center"/>
      <protection locked="0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0" fontId="64" fillId="0" borderId="7" xfId="0" applyFont="1" applyFill="1" applyBorder="1" applyAlignment="1" applyProtection="1">
      <alignment horizontal="center" vertical="center"/>
      <protection locked="0"/>
    </xf>
    <xf numFmtId="0" fontId="67" fillId="12" borderId="9" xfId="0" applyFont="1" applyFill="1" applyBorder="1" applyAlignment="1" applyProtection="1">
      <alignment horizontal="center" vertical="center"/>
      <protection locked="0"/>
    </xf>
    <xf numFmtId="0" fontId="64" fillId="13" borderId="6" xfId="0" applyFont="1" applyFill="1" applyBorder="1" applyAlignment="1" applyProtection="1">
      <alignment horizontal="center" vertical="center"/>
      <protection locked="0"/>
    </xf>
    <xf numFmtId="0" fontId="64" fillId="13" borderId="0" xfId="0" applyFont="1" applyFill="1" applyBorder="1" applyAlignment="1" applyProtection="1">
      <alignment horizontal="center" vertical="center"/>
      <protection locked="0"/>
    </xf>
    <xf numFmtId="0" fontId="64" fillId="13" borderId="9" xfId="0" applyFont="1" applyFill="1" applyBorder="1" applyAlignment="1" applyProtection="1">
      <alignment horizontal="center" vertical="center"/>
      <protection locked="0"/>
    </xf>
    <xf numFmtId="0" fontId="64" fillId="13" borderId="2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51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6" fillId="11" borderId="6" xfId="0" applyFont="1" applyFill="1" applyBorder="1" applyAlignment="1" applyProtection="1">
      <alignment horizontal="center" vertical="center"/>
      <protection locked="0"/>
    </xf>
    <xf numFmtId="0" fontId="66" fillId="11" borderId="9" xfId="0" applyFont="1" applyFill="1" applyBorder="1" applyAlignment="1" applyProtection="1">
      <alignment horizontal="center" vertical="center"/>
      <protection locked="0"/>
    </xf>
    <xf numFmtId="0" fontId="63" fillId="11" borderId="14" xfId="0" applyFont="1" applyFill="1" applyBorder="1" applyAlignment="1" applyProtection="1">
      <alignment horizontal="center" vertical="center"/>
      <protection locked="0"/>
    </xf>
    <xf numFmtId="0" fontId="63" fillId="11" borderId="8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5" fillId="0" borderId="9" xfId="0" applyFont="1" applyFill="1" applyBorder="1" applyAlignment="1" applyProtection="1">
      <alignment horizontal="center" vertical="center"/>
      <protection locked="0"/>
    </xf>
    <xf numFmtId="0" fontId="65" fillId="0" borderId="7" xfId="0" applyFont="1" applyFill="1" applyBorder="1" applyAlignment="1" applyProtection="1">
      <alignment horizontal="center" vertical="center"/>
      <protection locked="0"/>
    </xf>
    <xf numFmtId="0" fontId="66" fillId="11" borderId="13" xfId="0" applyFont="1" applyFill="1" applyBorder="1" applyAlignment="1" applyProtection="1">
      <alignment horizontal="center" vertical="center"/>
      <protection locked="0"/>
    </xf>
    <xf numFmtId="0" fontId="66" fillId="11" borderId="15" xfId="0" applyFont="1" applyFill="1" applyBorder="1" applyAlignment="1" applyProtection="1">
      <alignment horizontal="center" vertical="center"/>
      <protection locked="0"/>
    </xf>
    <xf numFmtId="0" fontId="66" fillId="11" borderId="14" xfId="0" applyFont="1" applyFill="1" applyBorder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3" fillId="11" borderId="13" xfId="0" applyFont="1" applyFill="1" applyBorder="1" applyAlignment="1" applyProtection="1">
      <alignment horizontal="center" vertical="center"/>
      <protection locked="0"/>
    </xf>
    <xf numFmtId="0" fontId="63" fillId="11" borderId="15" xfId="0" applyFont="1" applyFill="1" applyBorder="1" applyAlignment="1" applyProtection="1">
      <alignment horizontal="center" vertical="center"/>
      <protection locked="0"/>
    </xf>
    <xf numFmtId="0" fontId="64" fillId="0" borderId="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zoomScaleNormal="100" workbookViewId="0">
      <selection sqref="A1:B1"/>
    </sheetView>
  </sheetViews>
  <sheetFormatPr defaultColWidth="8.85546875" defaultRowHeight="12.75"/>
  <cols>
    <col min="1" max="1" width="22.28515625" style="192" customWidth="1"/>
    <col min="2" max="2" width="30.7109375" style="193" customWidth="1"/>
    <col min="3" max="3" width="8.85546875" style="44" customWidth="1"/>
    <col min="4" max="5" width="4.42578125" style="215" hidden="1" customWidth="1"/>
    <col min="6" max="6" width="6.28515625" style="215" hidden="1" customWidth="1"/>
    <col min="7" max="8" width="4.5703125" style="215" hidden="1" customWidth="1"/>
    <col min="9" max="9" width="3.85546875" style="215" hidden="1" customWidth="1"/>
    <col min="10" max="10" width="4.42578125" style="215" hidden="1" customWidth="1"/>
    <col min="11" max="11" width="4.28515625" style="263" hidden="1" customWidth="1"/>
    <col min="12" max="12" width="7.7109375" style="263" hidden="1" customWidth="1"/>
    <col min="13" max="13" width="2.42578125" style="216" hidden="1" customWidth="1"/>
    <col min="14" max="14" width="2.140625" style="216" hidden="1" customWidth="1"/>
    <col min="15" max="15" width="3.42578125" style="216" hidden="1" customWidth="1"/>
    <col min="16" max="16" width="4.7109375" style="216" hidden="1" customWidth="1"/>
    <col min="17" max="17" width="3.7109375" style="216" hidden="1" customWidth="1"/>
    <col min="18" max="18" width="3.85546875" style="216" hidden="1" customWidth="1"/>
    <col min="19" max="19" width="8.85546875" style="215" customWidth="1"/>
    <col min="20" max="16384" width="8.85546875" style="191"/>
  </cols>
  <sheetData>
    <row r="1" spans="1:18" ht="18">
      <c r="A1" s="536" t="s">
        <v>66</v>
      </c>
      <c r="B1" s="537"/>
      <c r="I1" s="216"/>
      <c r="K1" s="215"/>
      <c r="L1" s="215"/>
      <c r="M1" s="215"/>
      <c r="N1" s="215"/>
      <c r="O1" s="215"/>
      <c r="P1" s="215"/>
      <c r="Q1" s="215"/>
      <c r="R1" s="215"/>
    </row>
    <row r="2" spans="1:18">
      <c r="A2" s="199"/>
      <c r="E2" s="538" t="s">
        <v>48</v>
      </c>
      <c r="F2" s="539"/>
      <c r="G2" s="539"/>
      <c r="H2" s="540"/>
      <c r="K2" s="538" t="s">
        <v>52</v>
      </c>
      <c r="L2" s="540"/>
      <c r="M2" s="215"/>
      <c r="N2" s="538" t="s">
        <v>51</v>
      </c>
      <c r="O2" s="539"/>
      <c r="P2" s="539"/>
      <c r="Q2" s="539"/>
      <c r="R2" s="540"/>
    </row>
    <row r="3" spans="1:18" ht="15">
      <c r="A3" s="200" t="s">
        <v>3</v>
      </c>
      <c r="B3" s="327" t="s">
        <v>116</v>
      </c>
      <c r="E3" s="224"/>
      <c r="F3" s="225" t="s">
        <v>53</v>
      </c>
      <c r="G3" s="226" t="s">
        <v>54</v>
      </c>
      <c r="H3" s="227" t="s">
        <v>47</v>
      </c>
      <c r="K3" s="217" t="s">
        <v>18</v>
      </c>
      <c r="L3" s="218" t="s">
        <v>10</v>
      </c>
      <c r="N3" s="219">
        <v>0</v>
      </c>
      <c r="O3" s="220" t="s">
        <v>10</v>
      </c>
      <c r="P3" s="221" t="s">
        <v>47</v>
      </c>
      <c r="Q3" s="222" t="s">
        <v>23</v>
      </c>
      <c r="R3" s="223" t="s">
        <v>24</v>
      </c>
    </row>
    <row r="4" spans="1:18" ht="15">
      <c r="A4" s="200" t="s">
        <v>4</v>
      </c>
      <c r="B4" s="328" t="s">
        <v>117</v>
      </c>
      <c r="E4" s="541" t="s">
        <v>46</v>
      </c>
      <c r="F4" s="234">
        <v>1</v>
      </c>
      <c r="G4" s="235">
        <f>VALUE(MID($A$34,1,H4-1))</f>
        <v>0</v>
      </c>
      <c r="H4" s="236">
        <f>FIND(" ",$A$34,1)</f>
        <v>2</v>
      </c>
      <c r="K4" s="547" t="s">
        <v>11</v>
      </c>
      <c r="L4" s="228">
        <f>VALUE(LEFT(A45,1))</f>
        <v>4</v>
      </c>
      <c r="N4" s="229">
        <f>IF(O4="-","-",IF(O4&gt;0,N3+1,0))</f>
        <v>0</v>
      </c>
      <c r="O4" s="230">
        <f>IF(P4&gt;0,VALUE(MID($A$46,1,P4-1)),"-")</f>
        <v>0</v>
      </c>
      <c r="P4" s="231">
        <f>IF(LEN($A$46)&gt;1,FIND(" ",$A$46,1),0)</f>
        <v>2</v>
      </c>
      <c r="Q4" s="232">
        <v>0</v>
      </c>
      <c r="R4" s="233">
        <v>0</v>
      </c>
    </row>
    <row r="5" spans="1:18">
      <c r="A5" s="300" t="s">
        <v>98</v>
      </c>
      <c r="B5" s="329" t="s">
        <v>115</v>
      </c>
      <c r="E5" s="542"/>
      <c r="F5" s="240">
        <v>2</v>
      </c>
      <c r="G5" s="241">
        <f t="shared" ref="G5:G11" si="0">VALUE(MID($A$34,H4+1,H5-H4-1))</f>
        <v>0</v>
      </c>
      <c r="H5" s="236">
        <f t="shared" ref="H5:H11" si="1">FIND(" ",$A$34,H4+1)</f>
        <v>4</v>
      </c>
      <c r="K5" s="548"/>
      <c r="L5" s="237">
        <f>VALUE(RIGHT(A45,1))</f>
        <v>3</v>
      </c>
      <c r="N5" s="229">
        <f>IF(O5="-","-",IF(O5&gt;0,N4+1,0))</f>
        <v>0</v>
      </c>
      <c r="O5" s="230">
        <f t="shared" ref="O5:O35" si="2">IF(P5&gt;0,VALUE(MID($A$46,P4+1,P5-P4-1)),"-")</f>
        <v>0</v>
      </c>
      <c r="P5" s="231">
        <f t="shared" ref="P5:P35" si="3">IF(AND(P4&gt;0,LEN($A$46)&gt;P4+1),FIND(" ",$A$46,P4+1),0)</f>
        <v>4</v>
      </c>
      <c r="Q5" s="238">
        <v>0</v>
      </c>
      <c r="R5" s="239">
        <v>0</v>
      </c>
    </row>
    <row r="6" spans="1:18" ht="15">
      <c r="A6" s="200" t="s">
        <v>5</v>
      </c>
      <c r="B6" s="328" t="s">
        <v>120</v>
      </c>
      <c r="E6" s="542"/>
      <c r="F6" s="240">
        <v>3</v>
      </c>
      <c r="G6" s="241">
        <f t="shared" si="0"/>
        <v>0</v>
      </c>
      <c r="H6" s="236">
        <f t="shared" si="1"/>
        <v>6</v>
      </c>
      <c r="K6" s="217" t="s">
        <v>18</v>
      </c>
      <c r="L6" s="218" t="s">
        <v>10</v>
      </c>
      <c r="N6" s="229">
        <f>IF(O6="-","-",IF(O6&gt;0,N5+1,0))</f>
        <v>0</v>
      </c>
      <c r="O6" s="230">
        <f t="shared" si="2"/>
        <v>0</v>
      </c>
      <c r="P6" s="231">
        <f t="shared" si="3"/>
        <v>6</v>
      </c>
      <c r="Q6" s="238">
        <v>0</v>
      </c>
      <c r="R6" s="239">
        <v>0</v>
      </c>
    </row>
    <row r="7" spans="1:18" ht="15">
      <c r="A7" s="200" t="s">
        <v>97</v>
      </c>
      <c r="B7" s="328" t="s">
        <v>122</v>
      </c>
      <c r="E7" s="542"/>
      <c r="F7" s="240">
        <v>4</v>
      </c>
      <c r="G7" s="241">
        <f t="shared" si="0"/>
        <v>0</v>
      </c>
      <c r="H7" s="236">
        <f t="shared" si="1"/>
        <v>8</v>
      </c>
      <c r="K7" s="547" t="s">
        <v>12</v>
      </c>
      <c r="L7" s="228" t="str">
        <f>TRIM(LEFT(B45,(FIND(" ",B45,1)-1)))</f>
        <v>5</v>
      </c>
      <c r="N7" s="229">
        <f>IF(O7="-","-",IF(O7&gt;0,N6+1,0))</f>
        <v>0</v>
      </c>
      <c r="O7" s="230">
        <f t="shared" si="2"/>
        <v>0</v>
      </c>
      <c r="P7" s="231">
        <f t="shared" si="3"/>
        <v>8</v>
      </c>
      <c r="Q7" s="238">
        <v>0</v>
      </c>
      <c r="R7" s="239">
        <v>0</v>
      </c>
    </row>
    <row r="8" spans="1:18" ht="15">
      <c r="A8" s="200" t="s">
        <v>0</v>
      </c>
      <c r="B8" s="330" t="s">
        <v>118</v>
      </c>
      <c r="E8" s="542"/>
      <c r="F8" s="240">
        <v>5</v>
      </c>
      <c r="G8" s="241">
        <f t="shared" si="0"/>
        <v>0</v>
      </c>
      <c r="H8" s="236">
        <f t="shared" si="1"/>
        <v>10</v>
      </c>
      <c r="K8" s="549"/>
      <c r="L8" s="242" t="str">
        <f>TRIM(MID(B45,(FIND(" ",B45,1)),FIND(" ",B45,(FIND(" ",B45,1)+1))-(FIND(" ",B45,1))))</f>
        <v>6</v>
      </c>
      <c r="N8" s="229">
        <f>IF(O8="-","-",IF(O8&gt;0,N7+1,0))</f>
        <v>0</v>
      </c>
      <c r="O8" s="230">
        <f t="shared" si="2"/>
        <v>0</v>
      </c>
      <c r="P8" s="231">
        <f t="shared" si="3"/>
        <v>10</v>
      </c>
      <c r="Q8" s="238">
        <v>0</v>
      </c>
      <c r="R8" s="239">
        <v>0</v>
      </c>
    </row>
    <row r="9" spans="1:18" ht="15">
      <c r="A9" s="200" t="s">
        <v>1</v>
      </c>
      <c r="B9" s="330" t="s">
        <v>119</v>
      </c>
      <c r="C9" s="191"/>
      <c r="E9" s="542"/>
      <c r="F9" s="240">
        <v>6</v>
      </c>
      <c r="G9" s="241">
        <f t="shared" si="0"/>
        <v>0</v>
      </c>
      <c r="H9" s="236">
        <f t="shared" si="1"/>
        <v>12</v>
      </c>
      <c r="K9" s="549"/>
      <c r="L9" s="243" t="str">
        <f>TRIM(MID(B45, (FIND(" ",B45,(FIND(" ",B45,1)+1))+1), (FIND(" ",B45,(FIND(" ",B45,(FIND(" ",B45,1)+1))+1)))-(FIND(" ",B45,(FIND(" ",B45,1)+1))+1)))</f>
        <v>8</v>
      </c>
      <c r="N9" s="229">
        <f t="shared" ref="N9:N13" si="4">IF(O9="-","-",IF(O9&gt;0,N8+1,0))</f>
        <v>0</v>
      </c>
      <c r="O9" s="230">
        <f t="shared" si="2"/>
        <v>0</v>
      </c>
      <c r="P9" s="231">
        <f t="shared" si="3"/>
        <v>12</v>
      </c>
      <c r="Q9" s="238">
        <v>0</v>
      </c>
      <c r="R9" s="239">
        <v>0</v>
      </c>
    </row>
    <row r="10" spans="1:18" ht="15">
      <c r="A10" s="200" t="s">
        <v>2</v>
      </c>
      <c r="B10" s="328" t="s">
        <v>121</v>
      </c>
      <c r="C10" s="191"/>
      <c r="E10" s="542"/>
      <c r="F10" s="240">
        <v>7</v>
      </c>
      <c r="G10" s="241">
        <f t="shared" si="0"/>
        <v>10</v>
      </c>
      <c r="H10" s="236">
        <f t="shared" si="1"/>
        <v>15</v>
      </c>
      <c r="K10" s="548"/>
      <c r="L10" s="237" t="str">
        <f>TRIM(RIGHT(B45,LEN(B45)-(FIND(" ",B45,(FIND(" ",B45,(FIND(" ",B45,1)+1))+1)))))</f>
        <v>7</v>
      </c>
      <c r="N10" s="229">
        <f t="shared" si="4"/>
        <v>0</v>
      </c>
      <c r="O10" s="230">
        <f t="shared" si="2"/>
        <v>0</v>
      </c>
      <c r="P10" s="231">
        <f t="shared" si="3"/>
        <v>14</v>
      </c>
      <c r="Q10" s="238">
        <v>0</v>
      </c>
      <c r="R10" s="239">
        <v>0</v>
      </c>
    </row>
    <row r="11" spans="1:18" ht="15">
      <c r="A11" s="200" t="s">
        <v>17</v>
      </c>
      <c r="B11" s="331">
        <v>6988079366</v>
      </c>
      <c r="C11" s="191"/>
      <c r="E11" s="543"/>
      <c r="F11" s="244">
        <v>8</v>
      </c>
      <c r="G11" s="245">
        <f t="shared" si="0"/>
        <v>9</v>
      </c>
      <c r="H11" s="246">
        <f t="shared" si="1"/>
        <v>17</v>
      </c>
      <c r="K11" s="57"/>
      <c r="L11" s="57"/>
      <c r="N11" s="229">
        <f t="shared" si="4"/>
        <v>0</v>
      </c>
      <c r="O11" s="230">
        <f t="shared" si="2"/>
        <v>0</v>
      </c>
      <c r="P11" s="231">
        <f t="shared" si="3"/>
        <v>16</v>
      </c>
      <c r="Q11" s="238">
        <v>0</v>
      </c>
      <c r="R11" s="239">
        <v>0</v>
      </c>
    </row>
    <row r="12" spans="1:18">
      <c r="A12" s="199"/>
      <c r="B12" s="191"/>
      <c r="C12" s="191"/>
      <c r="K12" s="247"/>
      <c r="L12" s="248"/>
      <c r="N12" s="229">
        <f t="shared" si="4"/>
        <v>0</v>
      </c>
      <c r="O12" s="230">
        <f t="shared" si="2"/>
        <v>0</v>
      </c>
      <c r="P12" s="231">
        <f t="shared" si="3"/>
        <v>18</v>
      </c>
      <c r="Q12" s="238">
        <v>0</v>
      </c>
      <c r="R12" s="239">
        <v>0</v>
      </c>
    </row>
    <row r="13" spans="1:18">
      <c r="A13" s="199"/>
      <c r="C13" s="191"/>
      <c r="E13" s="538" t="s">
        <v>49</v>
      </c>
      <c r="F13" s="539"/>
      <c r="G13" s="539"/>
      <c r="H13" s="539"/>
      <c r="I13" s="540"/>
      <c r="K13" s="247"/>
      <c r="L13" s="57"/>
      <c r="N13" s="229">
        <f t="shared" si="4"/>
        <v>0</v>
      </c>
      <c r="O13" s="230">
        <f t="shared" si="2"/>
        <v>0</v>
      </c>
      <c r="P13" s="231">
        <f t="shared" si="3"/>
        <v>20</v>
      </c>
      <c r="Q13" s="238">
        <v>0</v>
      </c>
      <c r="R13" s="239">
        <v>0</v>
      </c>
    </row>
    <row r="14" spans="1:18">
      <c r="A14" s="272" t="s">
        <v>56</v>
      </c>
      <c r="B14" s="201" t="str">
        <f>"("&amp;COUNTBLANK('AL QD'!D3:D34)&amp;")"</f>
        <v>(32)</v>
      </c>
      <c r="C14" s="191"/>
      <c r="E14" s="219">
        <v>16</v>
      </c>
      <c r="F14" s="249" t="s">
        <v>10</v>
      </c>
      <c r="G14" s="221" t="s">
        <v>47</v>
      </c>
      <c r="H14" s="250" t="s">
        <v>23</v>
      </c>
      <c r="I14" s="251" t="s">
        <v>24</v>
      </c>
      <c r="K14" s="215"/>
      <c r="L14" s="215"/>
      <c r="N14" s="229">
        <f t="shared" ref="N14:N35" si="5">IF(O14="-","-",IF(O14&gt;0,N13+1,0))</f>
        <v>0</v>
      </c>
      <c r="O14" s="230">
        <f t="shared" si="2"/>
        <v>0</v>
      </c>
      <c r="P14" s="231">
        <f t="shared" si="3"/>
        <v>22</v>
      </c>
      <c r="Q14" s="238">
        <v>0</v>
      </c>
      <c r="R14" s="239">
        <v>0</v>
      </c>
    </row>
    <row r="15" spans="1:18">
      <c r="A15" s="203" t="s">
        <v>65</v>
      </c>
      <c r="B15" s="194">
        <f>COUNTBLANK('AL QD'!D3:D34)</f>
        <v>32</v>
      </c>
      <c r="C15" s="191"/>
      <c r="E15" s="252">
        <f>IF(F15=0,0,$E$14+1)</f>
        <v>0</v>
      </c>
      <c r="F15" s="228">
        <f>VALUE(MID($A$36,1,G15-1))</f>
        <v>0</v>
      </c>
      <c r="G15" s="242">
        <f>IF(LEN($A$36)&gt;1,FIND(" ",$A$36,1),0)</f>
        <v>2</v>
      </c>
      <c r="H15" s="253">
        <v>0</v>
      </c>
      <c r="I15" s="239">
        <v>0</v>
      </c>
      <c r="K15" s="215"/>
      <c r="L15" s="215"/>
      <c r="N15" s="229">
        <f t="shared" si="5"/>
        <v>0</v>
      </c>
      <c r="O15" s="230">
        <f t="shared" si="2"/>
        <v>0</v>
      </c>
      <c r="P15" s="231">
        <f t="shared" si="3"/>
        <v>24</v>
      </c>
      <c r="Q15" s="238">
        <v>0</v>
      </c>
      <c r="R15" s="239">
        <v>0</v>
      </c>
    </row>
    <row r="16" spans="1:18">
      <c r="A16" s="204" t="s">
        <v>31</v>
      </c>
      <c r="B16" s="195">
        <v>8</v>
      </c>
      <c r="C16" s="191"/>
      <c r="E16" s="254">
        <f>IF(F16=0,0,IF(E15&gt;0,E15+1,$E$14+1))</f>
        <v>0</v>
      </c>
      <c r="F16" s="243">
        <f t="shared" ref="F16:F30" si="6">VALUE(MID($A$36,G15+1,G16-G15-1))</f>
        <v>0</v>
      </c>
      <c r="G16" s="242">
        <f t="shared" ref="G16:G30" si="7">IF(AND(G15&gt;0,LEN($A$36)&gt;G15+1),FIND(" ",$A$36,G15+1),0)</f>
        <v>4</v>
      </c>
      <c r="H16" s="253">
        <v>0</v>
      </c>
      <c r="I16" s="239">
        <v>0</v>
      </c>
      <c r="K16" s="215"/>
      <c r="L16" s="215"/>
      <c r="N16" s="229">
        <f t="shared" si="5"/>
        <v>0</v>
      </c>
      <c r="O16" s="230">
        <f t="shared" si="2"/>
        <v>0</v>
      </c>
      <c r="P16" s="231">
        <f t="shared" si="3"/>
        <v>26</v>
      </c>
      <c r="Q16" s="238">
        <v>0</v>
      </c>
      <c r="R16" s="239">
        <v>0</v>
      </c>
    </row>
    <row r="17" spans="1:18">
      <c r="A17" s="272" t="s">
        <v>55</v>
      </c>
      <c r="B17" s="202" t="str">
        <f>"("&amp;COUNTBLANK('AL MD'!$D$3:$D$34)&amp;")"</f>
        <v>(22)</v>
      </c>
      <c r="C17" s="191"/>
      <c r="E17" s="254">
        <f>IF(F17=0,0,IF(E16&gt;0,E16+1,$E$14+1))</f>
        <v>0</v>
      </c>
      <c r="F17" s="243">
        <f t="shared" si="6"/>
        <v>0</v>
      </c>
      <c r="G17" s="242">
        <f t="shared" si="7"/>
        <v>6</v>
      </c>
      <c r="H17" s="253">
        <v>0</v>
      </c>
      <c r="I17" s="239">
        <v>0</v>
      </c>
      <c r="K17" s="215"/>
      <c r="L17" s="215"/>
      <c r="N17" s="229">
        <f t="shared" si="5"/>
        <v>0</v>
      </c>
      <c r="O17" s="230">
        <f t="shared" si="2"/>
        <v>0</v>
      </c>
      <c r="P17" s="231">
        <f t="shared" si="3"/>
        <v>28</v>
      </c>
      <c r="Q17" s="238">
        <v>0</v>
      </c>
      <c r="R17" s="239">
        <v>0</v>
      </c>
    </row>
    <row r="18" spans="1:18">
      <c r="A18" s="203" t="s">
        <v>27</v>
      </c>
      <c r="B18" s="196">
        <f>COUNTBLANK('AL MD'!$D$3:$D$34)</f>
        <v>22</v>
      </c>
      <c r="C18" s="191"/>
      <c r="E18" s="254">
        <f>IF(F18=0,0,IF(E17&gt;0,E17+1,$E$14+1))</f>
        <v>0</v>
      </c>
      <c r="F18" s="243">
        <f t="shared" si="6"/>
        <v>0</v>
      </c>
      <c r="G18" s="242">
        <f t="shared" si="7"/>
        <v>8</v>
      </c>
      <c r="H18" s="253">
        <v>0</v>
      </c>
      <c r="I18" s="239">
        <v>0</v>
      </c>
      <c r="K18" s="215"/>
      <c r="L18" s="215"/>
      <c r="N18" s="229">
        <f t="shared" si="5"/>
        <v>0</v>
      </c>
      <c r="O18" s="230">
        <f t="shared" si="2"/>
        <v>0</v>
      </c>
      <c r="P18" s="231">
        <f t="shared" si="3"/>
        <v>30</v>
      </c>
      <c r="Q18" s="238">
        <v>0</v>
      </c>
      <c r="R18" s="239">
        <v>0</v>
      </c>
    </row>
    <row r="19" spans="1:18">
      <c r="A19" s="204" t="s">
        <v>31</v>
      </c>
      <c r="B19" s="195">
        <v>8</v>
      </c>
      <c r="C19" s="191"/>
      <c r="E19" s="254">
        <f t="shared" ref="E19:E30" si="8">IF(F19=0,0,IF(E18&gt;0,E18+1,$E$14+1))</f>
        <v>0</v>
      </c>
      <c r="F19" s="243">
        <f t="shared" si="6"/>
        <v>0</v>
      </c>
      <c r="G19" s="242">
        <f t="shared" si="7"/>
        <v>10</v>
      </c>
      <c r="H19" s="253">
        <v>0</v>
      </c>
      <c r="I19" s="239">
        <v>0</v>
      </c>
      <c r="K19" s="215"/>
      <c r="L19" s="215"/>
      <c r="N19" s="229">
        <f t="shared" si="5"/>
        <v>0</v>
      </c>
      <c r="O19" s="230">
        <f t="shared" si="2"/>
        <v>0</v>
      </c>
      <c r="P19" s="231">
        <f t="shared" si="3"/>
        <v>32</v>
      </c>
      <c r="Q19" s="238">
        <v>0</v>
      </c>
      <c r="R19" s="239">
        <v>0</v>
      </c>
    </row>
    <row r="20" spans="1:18">
      <c r="A20" s="199"/>
      <c r="C20" s="191"/>
      <c r="E20" s="254">
        <f t="shared" si="8"/>
        <v>0</v>
      </c>
      <c r="F20" s="243">
        <f t="shared" si="6"/>
        <v>0</v>
      </c>
      <c r="G20" s="242">
        <f t="shared" si="7"/>
        <v>12</v>
      </c>
      <c r="H20" s="253">
        <v>0</v>
      </c>
      <c r="I20" s="239">
        <v>0</v>
      </c>
      <c r="K20" s="215"/>
      <c r="L20" s="215"/>
      <c r="N20" s="229">
        <f t="shared" si="5"/>
        <v>1</v>
      </c>
      <c r="O20" s="230">
        <f t="shared" si="2"/>
        <v>1</v>
      </c>
      <c r="P20" s="231">
        <f t="shared" si="3"/>
        <v>34</v>
      </c>
      <c r="Q20" s="238">
        <v>1</v>
      </c>
      <c r="R20" s="239">
        <v>1</v>
      </c>
    </row>
    <row r="21" spans="1:18">
      <c r="A21" s="205"/>
      <c r="B21" s="197"/>
      <c r="C21" s="191"/>
      <c r="E21" s="254">
        <f t="shared" si="8"/>
        <v>0</v>
      </c>
      <c r="F21" s="243">
        <f t="shared" si="6"/>
        <v>0</v>
      </c>
      <c r="G21" s="242">
        <f t="shared" si="7"/>
        <v>14</v>
      </c>
      <c r="H21" s="253">
        <v>0</v>
      </c>
      <c r="I21" s="239">
        <v>0</v>
      </c>
      <c r="K21" s="215"/>
      <c r="L21" s="215"/>
      <c r="N21" s="229">
        <f t="shared" si="5"/>
        <v>2</v>
      </c>
      <c r="O21" s="230">
        <f t="shared" si="2"/>
        <v>2</v>
      </c>
      <c r="P21" s="231">
        <f t="shared" si="3"/>
        <v>36</v>
      </c>
      <c r="Q21" s="238">
        <v>2</v>
      </c>
      <c r="R21" s="239">
        <v>2</v>
      </c>
    </row>
    <row r="22" spans="1:18">
      <c r="A22" s="206"/>
      <c r="B22" s="198"/>
      <c r="C22" s="191"/>
      <c r="E22" s="254">
        <f t="shared" si="8"/>
        <v>0</v>
      </c>
      <c r="F22" s="243">
        <f t="shared" si="6"/>
        <v>0</v>
      </c>
      <c r="G22" s="242">
        <f t="shared" si="7"/>
        <v>16</v>
      </c>
      <c r="H22" s="253">
        <v>0</v>
      </c>
      <c r="I22" s="239">
        <v>0</v>
      </c>
      <c r="K22" s="215"/>
      <c r="L22" s="215"/>
      <c r="N22" s="229">
        <f t="shared" si="5"/>
        <v>3</v>
      </c>
      <c r="O22" s="230">
        <f t="shared" si="2"/>
        <v>3</v>
      </c>
      <c r="P22" s="231">
        <f t="shared" si="3"/>
        <v>38</v>
      </c>
      <c r="Q22" s="238">
        <v>3</v>
      </c>
      <c r="R22" s="239">
        <v>3</v>
      </c>
    </row>
    <row r="23" spans="1:18">
      <c r="A23" s="207" t="s">
        <v>75</v>
      </c>
      <c r="B23" s="322" t="s">
        <v>110</v>
      </c>
      <c r="C23" s="191"/>
      <c r="E23" s="254">
        <f t="shared" si="8"/>
        <v>0</v>
      </c>
      <c r="F23" s="243">
        <f t="shared" si="6"/>
        <v>0</v>
      </c>
      <c r="G23" s="242">
        <f t="shared" si="7"/>
        <v>18</v>
      </c>
      <c r="H23" s="253">
        <v>0</v>
      </c>
      <c r="I23" s="239">
        <v>0</v>
      </c>
      <c r="K23" s="215"/>
      <c r="L23" s="215"/>
      <c r="N23" s="229">
        <f t="shared" si="5"/>
        <v>4</v>
      </c>
      <c r="O23" s="230">
        <f t="shared" si="2"/>
        <v>4</v>
      </c>
      <c r="P23" s="231">
        <f t="shared" si="3"/>
        <v>40</v>
      </c>
      <c r="Q23" s="238">
        <v>4</v>
      </c>
      <c r="R23" s="239">
        <v>4</v>
      </c>
    </row>
    <row r="24" spans="1:18">
      <c r="A24" s="207" t="s">
        <v>74</v>
      </c>
      <c r="B24" s="322" t="s">
        <v>110</v>
      </c>
      <c r="C24" s="191"/>
      <c r="E24" s="254">
        <f t="shared" si="8"/>
        <v>0</v>
      </c>
      <c r="F24" s="243">
        <f t="shared" si="6"/>
        <v>0</v>
      </c>
      <c r="G24" s="242">
        <f t="shared" si="7"/>
        <v>20</v>
      </c>
      <c r="H24" s="253">
        <v>0</v>
      </c>
      <c r="I24" s="239">
        <v>0</v>
      </c>
      <c r="K24" s="215"/>
      <c r="L24" s="215"/>
      <c r="N24" s="229">
        <f t="shared" si="5"/>
        <v>5</v>
      </c>
      <c r="O24" s="230">
        <f t="shared" si="2"/>
        <v>5</v>
      </c>
      <c r="P24" s="231">
        <f t="shared" si="3"/>
        <v>42</v>
      </c>
      <c r="Q24" s="238">
        <v>5</v>
      </c>
      <c r="R24" s="239">
        <v>5</v>
      </c>
    </row>
    <row r="25" spans="1:18">
      <c r="A25" s="207" t="s">
        <v>104</v>
      </c>
      <c r="B25" s="133" t="s">
        <v>103</v>
      </c>
      <c r="C25" s="191"/>
      <c r="E25" s="254">
        <f t="shared" si="8"/>
        <v>0</v>
      </c>
      <c r="F25" s="243">
        <f t="shared" si="6"/>
        <v>0</v>
      </c>
      <c r="G25" s="242">
        <f t="shared" si="7"/>
        <v>22</v>
      </c>
      <c r="H25" s="253">
        <v>0</v>
      </c>
      <c r="I25" s="239">
        <v>0</v>
      </c>
      <c r="K25" s="215"/>
      <c r="L25" s="215"/>
      <c r="N25" s="229">
        <f t="shared" si="5"/>
        <v>6</v>
      </c>
      <c r="O25" s="230">
        <f t="shared" si="2"/>
        <v>6</v>
      </c>
      <c r="P25" s="231">
        <f t="shared" si="3"/>
        <v>44</v>
      </c>
      <c r="Q25" s="238">
        <v>6</v>
      </c>
      <c r="R25" s="239">
        <v>6</v>
      </c>
    </row>
    <row r="26" spans="1:18" s="215" customFormat="1" ht="8.25">
      <c r="E26" s="254">
        <f t="shared" si="8"/>
        <v>0</v>
      </c>
      <c r="F26" s="243">
        <f t="shared" si="6"/>
        <v>0</v>
      </c>
      <c r="G26" s="242">
        <f t="shared" si="7"/>
        <v>24</v>
      </c>
      <c r="H26" s="253">
        <v>0</v>
      </c>
      <c r="I26" s="239">
        <v>0</v>
      </c>
      <c r="M26" s="216"/>
      <c r="N26" s="229">
        <f t="shared" si="5"/>
        <v>7</v>
      </c>
      <c r="O26" s="230">
        <f t="shared" si="2"/>
        <v>7</v>
      </c>
      <c r="P26" s="231">
        <f t="shared" si="3"/>
        <v>46</v>
      </c>
      <c r="Q26" s="238">
        <v>7</v>
      </c>
      <c r="R26" s="239">
        <v>7</v>
      </c>
    </row>
    <row r="27" spans="1:18" s="215" customFormat="1" ht="8.25">
      <c r="E27" s="254">
        <f t="shared" si="8"/>
        <v>0</v>
      </c>
      <c r="F27" s="243">
        <f t="shared" si="6"/>
        <v>0</v>
      </c>
      <c r="G27" s="242">
        <f t="shared" si="7"/>
        <v>26</v>
      </c>
      <c r="H27" s="253">
        <v>0</v>
      </c>
      <c r="I27" s="239">
        <v>0</v>
      </c>
      <c r="M27" s="216"/>
      <c r="N27" s="229">
        <f t="shared" si="5"/>
        <v>8</v>
      </c>
      <c r="O27" s="230">
        <f t="shared" si="2"/>
        <v>8</v>
      </c>
      <c r="P27" s="231">
        <f t="shared" si="3"/>
        <v>48</v>
      </c>
      <c r="Q27" s="238">
        <v>8</v>
      </c>
      <c r="R27" s="239">
        <v>8</v>
      </c>
    </row>
    <row r="28" spans="1:18" s="215" customFormat="1" ht="8.25">
      <c r="E28" s="254">
        <f t="shared" si="8"/>
        <v>0</v>
      </c>
      <c r="F28" s="243">
        <f t="shared" si="6"/>
        <v>0</v>
      </c>
      <c r="G28" s="242">
        <f t="shared" si="7"/>
        <v>28</v>
      </c>
      <c r="H28" s="253">
        <v>0</v>
      </c>
      <c r="I28" s="239">
        <v>0</v>
      </c>
      <c r="M28" s="216"/>
      <c r="N28" s="229">
        <f t="shared" si="5"/>
        <v>9</v>
      </c>
      <c r="O28" s="230">
        <f t="shared" si="2"/>
        <v>10</v>
      </c>
      <c r="P28" s="231">
        <f t="shared" si="3"/>
        <v>51</v>
      </c>
      <c r="Q28" s="238">
        <v>9</v>
      </c>
      <c r="R28" s="239">
        <v>10</v>
      </c>
    </row>
    <row r="29" spans="1:18" s="215" customFormat="1" ht="8.25" hidden="1">
      <c r="A29" s="263">
        <f>VLOOKUP($B$15,$E$33:$G$57,2)</f>
        <v>0</v>
      </c>
      <c r="B29" s="355">
        <f>VLOOKUP($B$15,$E$33:$G$57,3)</f>
        <v>0</v>
      </c>
      <c r="E29" s="254">
        <f t="shared" si="8"/>
        <v>0</v>
      </c>
      <c r="F29" s="243">
        <f t="shared" si="6"/>
        <v>0</v>
      </c>
      <c r="G29" s="242">
        <f t="shared" si="7"/>
        <v>30</v>
      </c>
      <c r="H29" s="253">
        <v>0</v>
      </c>
      <c r="I29" s="239">
        <v>0</v>
      </c>
      <c r="M29" s="216"/>
      <c r="N29" s="229">
        <f t="shared" si="5"/>
        <v>10</v>
      </c>
      <c r="O29" s="230">
        <f t="shared" si="2"/>
        <v>9</v>
      </c>
      <c r="P29" s="231">
        <f t="shared" si="3"/>
        <v>53</v>
      </c>
      <c r="Q29" s="238">
        <v>10</v>
      </c>
      <c r="R29" s="239">
        <v>9</v>
      </c>
    </row>
    <row r="30" spans="1:18" s="215" customFormat="1" ht="8.25" hidden="1">
      <c r="A30" s="356" t="str">
        <f>IF(A29&gt;0,LEFT(A37,(8-A29)*2) &amp; RandUniq(9,8+A29,A29),LEFT(A37,8*2)) &amp; " "</f>
        <v xml:space="preserve">0 0 0 0 0 0 0 0  </v>
      </c>
      <c r="B30" s="356"/>
      <c r="E30" s="256">
        <f t="shared" si="8"/>
        <v>0</v>
      </c>
      <c r="F30" s="237">
        <f t="shared" si="6"/>
        <v>0</v>
      </c>
      <c r="G30" s="221">
        <f t="shared" si="7"/>
        <v>32</v>
      </c>
      <c r="H30" s="257">
        <v>0</v>
      </c>
      <c r="I30" s="258">
        <v>0</v>
      </c>
      <c r="M30" s="216"/>
      <c r="N30" s="229">
        <f t="shared" si="5"/>
        <v>11</v>
      </c>
      <c r="O30" s="230">
        <f t="shared" si="2"/>
        <v>14</v>
      </c>
      <c r="P30" s="231">
        <f t="shared" si="3"/>
        <v>56</v>
      </c>
      <c r="Q30" s="238">
        <v>11</v>
      </c>
      <c r="R30" s="239">
        <v>14</v>
      </c>
    </row>
    <row r="31" spans="1:18" s="215" customFormat="1" ht="8.25" hidden="1">
      <c r="A31" s="356" t="str">
        <f>IF(B29&gt;0,(LEFT(A37,(16-B29)*2)&amp;RandUniq(17,16+B29,B29)),LEFT(A37,16*2))&amp;" "</f>
        <v xml:space="preserve">0 0 0 0 0 0 0 0 0 0 0 0 0 0 0 0  </v>
      </c>
      <c r="M31" s="216" t="s">
        <v>22</v>
      </c>
      <c r="N31" s="229">
        <f t="shared" si="5"/>
        <v>12</v>
      </c>
      <c r="O31" s="230">
        <f t="shared" si="2"/>
        <v>16</v>
      </c>
      <c r="P31" s="231">
        <f t="shared" si="3"/>
        <v>59</v>
      </c>
      <c r="Q31" s="238">
        <v>12</v>
      </c>
      <c r="R31" s="239">
        <v>16</v>
      </c>
    </row>
    <row r="32" spans="1:18" s="215" customFormat="1" ht="8.25" hidden="1">
      <c r="C32" s="215" t="s">
        <v>22</v>
      </c>
      <c r="E32" s="252" t="s">
        <v>61</v>
      </c>
      <c r="F32" s="260" t="s">
        <v>62</v>
      </c>
      <c r="G32" s="261" t="s">
        <v>63</v>
      </c>
      <c r="M32" s="216"/>
      <c r="N32" s="229">
        <f t="shared" si="5"/>
        <v>13</v>
      </c>
      <c r="O32" s="230">
        <f t="shared" si="2"/>
        <v>12</v>
      </c>
      <c r="P32" s="231">
        <f t="shared" si="3"/>
        <v>62</v>
      </c>
      <c r="Q32" s="238">
        <v>13</v>
      </c>
      <c r="R32" s="239">
        <v>12</v>
      </c>
    </row>
    <row r="33" spans="1:18" s="215" customFormat="1" ht="8.25" hidden="1">
      <c r="A33" s="357" t="s">
        <v>58</v>
      </c>
      <c r="B33" s="358"/>
      <c r="C33" s="359"/>
      <c r="E33" s="262">
        <v>0</v>
      </c>
      <c r="F33" s="263">
        <v>8</v>
      </c>
      <c r="G33" s="242">
        <v>16</v>
      </c>
      <c r="M33" s="216"/>
      <c r="N33" s="229">
        <f t="shared" si="5"/>
        <v>14</v>
      </c>
      <c r="O33" s="230">
        <f t="shared" si="2"/>
        <v>13</v>
      </c>
      <c r="P33" s="231">
        <f t="shared" si="3"/>
        <v>65</v>
      </c>
      <c r="Q33" s="238">
        <v>14</v>
      </c>
      <c r="R33" s="239">
        <v>13</v>
      </c>
    </row>
    <row r="34" spans="1:18" s="215" customFormat="1" ht="8.25" hidden="1">
      <c r="A34" s="360" t="s">
        <v>105</v>
      </c>
      <c r="B34" s="361"/>
      <c r="C34" s="362"/>
      <c r="E34" s="229">
        <v>1</v>
      </c>
      <c r="F34" s="263">
        <v>8</v>
      </c>
      <c r="G34" s="242">
        <v>15</v>
      </c>
      <c r="K34" s="264"/>
      <c r="L34" s="264"/>
      <c r="M34" s="216"/>
      <c r="N34" s="229">
        <f t="shared" si="5"/>
        <v>15</v>
      </c>
      <c r="O34" s="230">
        <f t="shared" si="2"/>
        <v>11</v>
      </c>
      <c r="P34" s="231">
        <f t="shared" si="3"/>
        <v>68</v>
      </c>
      <c r="Q34" s="238">
        <v>15</v>
      </c>
      <c r="R34" s="239">
        <v>11</v>
      </c>
    </row>
    <row r="35" spans="1:18" s="215" customFormat="1" ht="8.25" hidden="1">
      <c r="A35" s="363" t="s">
        <v>64</v>
      </c>
      <c r="B35" s="364"/>
      <c r="C35" s="362"/>
      <c r="E35" s="229">
        <v>2</v>
      </c>
      <c r="F35" s="263">
        <v>8</v>
      </c>
      <c r="G35" s="242">
        <v>14</v>
      </c>
      <c r="M35" s="216"/>
      <c r="N35" s="266">
        <f t="shared" si="5"/>
        <v>16</v>
      </c>
      <c r="O35" s="267">
        <f t="shared" si="2"/>
        <v>15</v>
      </c>
      <c r="P35" s="268">
        <f t="shared" si="3"/>
        <v>71</v>
      </c>
      <c r="Q35" s="269">
        <v>16</v>
      </c>
      <c r="R35" s="258">
        <v>15</v>
      </c>
    </row>
    <row r="36" spans="1:18" s="215" customFormat="1" ht="8.25" hidden="1">
      <c r="A36" s="365" t="s">
        <v>99</v>
      </c>
      <c r="B36" s="361"/>
      <c r="C36" s="362"/>
      <c r="E36" s="229">
        <v>3</v>
      </c>
      <c r="F36" s="263">
        <v>8</v>
      </c>
      <c r="G36" s="242">
        <v>13</v>
      </c>
      <c r="M36" s="216"/>
      <c r="N36" s="216"/>
      <c r="O36" s="216"/>
      <c r="P36" s="216"/>
      <c r="Q36" s="216"/>
      <c r="R36" s="216"/>
    </row>
    <row r="37" spans="1:18" s="215" customFormat="1" ht="8.25" hidden="1">
      <c r="A37" s="366" t="s">
        <v>45</v>
      </c>
      <c r="B37" s="367"/>
      <c r="C37" s="368"/>
      <c r="E37" s="229">
        <v>4</v>
      </c>
      <c r="F37" s="263">
        <v>8</v>
      </c>
      <c r="G37" s="242">
        <v>12</v>
      </c>
      <c r="M37" s="216"/>
      <c r="N37" s="216"/>
      <c r="O37" s="216"/>
      <c r="P37" s="216"/>
      <c r="Q37" s="216"/>
      <c r="R37" s="216"/>
    </row>
    <row r="38" spans="1:18" s="215" customFormat="1" ht="8.25" hidden="1">
      <c r="E38" s="229">
        <v>5</v>
      </c>
      <c r="F38" s="263">
        <v>8</v>
      </c>
      <c r="G38" s="242">
        <v>11</v>
      </c>
      <c r="M38" s="216"/>
      <c r="N38" s="216"/>
      <c r="O38" s="216"/>
      <c r="P38" s="216"/>
      <c r="Q38" s="216"/>
      <c r="R38" s="216"/>
    </row>
    <row r="39" spans="1:18" s="215" customFormat="1" ht="8.25" hidden="1">
      <c r="E39" s="229">
        <v>6</v>
      </c>
      <c r="F39" s="263">
        <v>8</v>
      </c>
      <c r="G39" s="242">
        <v>10</v>
      </c>
      <c r="M39" s="216"/>
      <c r="N39" s="216"/>
      <c r="O39" s="216"/>
      <c r="P39" s="216"/>
      <c r="Q39" s="216"/>
      <c r="R39" s="216"/>
    </row>
    <row r="40" spans="1:18" s="215" customFormat="1" ht="8.25" hidden="1">
      <c r="A40" s="369" t="s">
        <v>20</v>
      </c>
      <c r="E40" s="229">
        <v>7</v>
      </c>
      <c r="F40" s="263">
        <v>8</v>
      </c>
      <c r="G40" s="242">
        <v>9</v>
      </c>
      <c r="M40" s="216"/>
      <c r="N40" s="216"/>
      <c r="O40" s="216"/>
      <c r="P40" s="216"/>
      <c r="Q40" s="216"/>
      <c r="R40" s="216"/>
    </row>
    <row r="41" spans="1:18" s="215" customFormat="1" ht="8.25" hidden="1">
      <c r="A41" s="369" t="s">
        <v>21</v>
      </c>
      <c r="E41" s="229">
        <v>8</v>
      </c>
      <c r="F41" s="263">
        <v>8</v>
      </c>
      <c r="G41" s="242">
        <v>8</v>
      </c>
      <c r="L41" s="263"/>
      <c r="M41" s="216"/>
      <c r="N41" s="216"/>
      <c r="O41" s="216"/>
      <c r="P41" s="216"/>
      <c r="Q41" s="216"/>
      <c r="R41" s="216"/>
    </row>
    <row r="42" spans="1:18" s="215" customFormat="1" ht="8.25" hidden="1">
      <c r="A42" s="369" t="s">
        <v>76</v>
      </c>
      <c r="E42" s="229">
        <v>9</v>
      </c>
      <c r="F42" s="263">
        <v>8</v>
      </c>
      <c r="G42" s="242">
        <v>7</v>
      </c>
      <c r="K42" s="263"/>
      <c r="L42" s="263"/>
      <c r="M42" s="216"/>
      <c r="N42" s="216"/>
      <c r="O42" s="216"/>
      <c r="P42" s="216"/>
      <c r="Q42" s="216"/>
      <c r="R42" s="216"/>
    </row>
    <row r="43" spans="1:18" s="215" customFormat="1" ht="8.25" hidden="1">
      <c r="A43" s="370"/>
      <c r="B43" s="364"/>
      <c r="E43" s="229">
        <v>10</v>
      </c>
      <c r="F43" s="263">
        <v>8</v>
      </c>
      <c r="G43" s="242">
        <v>6</v>
      </c>
      <c r="K43" s="263"/>
      <c r="L43" s="263"/>
      <c r="M43" s="216"/>
      <c r="N43" s="216"/>
      <c r="O43" s="216"/>
      <c r="P43" s="216"/>
      <c r="Q43" s="216"/>
      <c r="R43" s="216"/>
    </row>
    <row r="44" spans="1:18" s="215" customFormat="1" ht="8.25" hidden="1">
      <c r="A44" s="357" t="s">
        <v>57</v>
      </c>
      <c r="B44" s="358"/>
      <c r="C44" s="359"/>
      <c r="E44" s="229">
        <v>11</v>
      </c>
      <c r="F44" s="263">
        <v>8</v>
      </c>
      <c r="G44" s="242">
        <v>5</v>
      </c>
      <c r="K44" s="263"/>
      <c r="L44" s="263"/>
      <c r="M44" s="216"/>
      <c r="N44" s="216"/>
      <c r="O44" s="216"/>
      <c r="P44" s="216"/>
      <c r="Q44" s="216"/>
      <c r="R44" s="216"/>
    </row>
    <row r="45" spans="1:18" s="215" customFormat="1" ht="8.25" hidden="1">
      <c r="A45" s="371" t="s">
        <v>112</v>
      </c>
      <c r="B45" s="372" t="s">
        <v>113</v>
      </c>
      <c r="C45" s="362"/>
      <c r="E45" s="229">
        <v>12</v>
      </c>
      <c r="F45" s="263">
        <v>8</v>
      </c>
      <c r="G45" s="242">
        <v>4</v>
      </c>
      <c r="K45" s="263"/>
      <c r="L45" s="263"/>
      <c r="M45" s="216"/>
      <c r="N45" s="216"/>
      <c r="O45" s="216"/>
      <c r="P45" s="216"/>
      <c r="Q45" s="216"/>
      <c r="R45" s="216"/>
    </row>
    <row r="46" spans="1:18" s="215" customFormat="1" ht="8.25" hidden="1">
      <c r="A46" s="373" t="s">
        <v>114</v>
      </c>
      <c r="B46" s="374"/>
      <c r="C46" s="375"/>
      <c r="E46" s="229">
        <v>13</v>
      </c>
      <c r="F46" s="263">
        <v>8</v>
      </c>
      <c r="G46" s="242">
        <v>3</v>
      </c>
      <c r="K46" s="263"/>
      <c r="L46" s="263"/>
      <c r="M46" s="216"/>
      <c r="N46" s="216"/>
      <c r="O46" s="216"/>
      <c r="P46" s="216"/>
      <c r="Q46" s="216"/>
      <c r="R46" s="216"/>
    </row>
    <row r="47" spans="1:18" s="215" customFormat="1" ht="8.25" hidden="1">
      <c r="A47" s="376" t="s">
        <v>32</v>
      </c>
      <c r="B47" s="377"/>
      <c r="C47" s="362"/>
      <c r="E47" s="229">
        <v>14</v>
      </c>
      <c r="F47" s="263">
        <v>8</v>
      </c>
      <c r="G47" s="242">
        <v>2</v>
      </c>
      <c r="K47" s="263"/>
      <c r="L47" s="263"/>
      <c r="M47" s="216"/>
      <c r="N47" s="216"/>
      <c r="O47" s="216"/>
      <c r="P47" s="216"/>
      <c r="Q47" s="216"/>
      <c r="R47" s="216"/>
    </row>
    <row r="48" spans="1:18" s="215" customFormat="1" ht="8.25" hidden="1">
      <c r="A48" s="378" t="s">
        <v>60</v>
      </c>
      <c r="B48" s="367"/>
      <c r="C48" s="368"/>
      <c r="E48" s="229">
        <v>15</v>
      </c>
      <c r="F48" s="263">
        <v>8</v>
      </c>
      <c r="G48" s="242">
        <v>1</v>
      </c>
      <c r="K48" s="263"/>
      <c r="L48" s="248"/>
      <c r="M48" s="270"/>
      <c r="N48" s="216"/>
      <c r="O48" s="216"/>
      <c r="P48" s="216"/>
      <c r="Q48" s="216"/>
      <c r="R48" s="216"/>
    </row>
    <row r="49" spans="1:20" s="215" customFormat="1" ht="8.25" hidden="1">
      <c r="E49" s="254">
        <v>16</v>
      </c>
      <c r="F49" s="263">
        <v>8</v>
      </c>
      <c r="G49" s="242">
        <v>0</v>
      </c>
      <c r="K49" s="57"/>
      <c r="L49" s="248"/>
      <c r="M49" s="270"/>
      <c r="N49" s="216"/>
      <c r="O49" s="216"/>
      <c r="P49" s="216"/>
      <c r="Q49" s="216"/>
      <c r="R49" s="216"/>
    </row>
    <row r="50" spans="1:20" s="215" customFormat="1" ht="8.25" hidden="1">
      <c r="E50" s="229">
        <v>17</v>
      </c>
      <c r="F50" s="263">
        <v>7</v>
      </c>
      <c r="G50" s="242">
        <v>0</v>
      </c>
      <c r="K50" s="57"/>
      <c r="L50" s="248"/>
      <c r="M50" s="270"/>
      <c r="N50" s="216"/>
      <c r="O50" s="216"/>
      <c r="P50" s="216"/>
      <c r="Q50" s="216"/>
      <c r="R50" s="216"/>
    </row>
    <row r="51" spans="1:20" s="215" customFormat="1" ht="8.25" hidden="1">
      <c r="E51" s="254">
        <v>18</v>
      </c>
      <c r="F51" s="263">
        <v>6</v>
      </c>
      <c r="G51" s="242">
        <v>0</v>
      </c>
      <c r="K51" s="57"/>
      <c r="L51" s="248"/>
      <c r="M51" s="270"/>
      <c r="N51" s="216"/>
      <c r="O51" s="216"/>
      <c r="P51" s="216"/>
      <c r="Q51" s="216"/>
      <c r="R51" s="216"/>
    </row>
    <row r="52" spans="1:20" s="215" customFormat="1" ht="8.25" hidden="1">
      <c r="E52" s="229">
        <v>19</v>
      </c>
      <c r="F52" s="263">
        <v>5</v>
      </c>
      <c r="G52" s="242">
        <v>0</v>
      </c>
      <c r="K52" s="57"/>
      <c r="L52" s="248"/>
      <c r="M52" s="270"/>
      <c r="N52" s="216"/>
      <c r="O52" s="216"/>
      <c r="P52" s="216"/>
      <c r="Q52" s="216"/>
      <c r="R52" s="216"/>
    </row>
    <row r="53" spans="1:20" s="215" customFormat="1" ht="8.25" hidden="1">
      <c r="A53" s="370"/>
      <c r="B53" s="364"/>
      <c r="C53" s="216"/>
      <c r="E53" s="254">
        <v>20</v>
      </c>
      <c r="F53" s="263">
        <v>4</v>
      </c>
      <c r="G53" s="242">
        <v>0</v>
      </c>
      <c r="K53" s="57"/>
      <c r="L53" s="248"/>
      <c r="M53" s="270"/>
      <c r="N53" s="270"/>
      <c r="O53" s="216"/>
      <c r="P53" s="216"/>
      <c r="Q53" s="216"/>
      <c r="R53" s="216"/>
    </row>
    <row r="54" spans="1:20" s="215" customFormat="1" ht="8.25" hidden="1">
      <c r="E54" s="229">
        <v>21</v>
      </c>
      <c r="F54" s="263">
        <v>3</v>
      </c>
      <c r="G54" s="242">
        <v>0</v>
      </c>
      <c r="K54" s="57"/>
      <c r="L54" s="248"/>
      <c r="M54" s="270"/>
      <c r="N54" s="270"/>
      <c r="O54" s="216"/>
      <c r="P54" s="216"/>
      <c r="Q54" s="216"/>
      <c r="R54" s="216"/>
    </row>
    <row r="55" spans="1:20" s="215" customFormat="1" ht="8.25" hidden="1">
      <c r="E55" s="254">
        <v>22</v>
      </c>
      <c r="F55" s="263">
        <v>2</v>
      </c>
      <c r="G55" s="242">
        <v>0</v>
      </c>
      <c r="K55" s="57"/>
      <c r="L55" s="248"/>
      <c r="M55" s="270"/>
      <c r="N55" s="270"/>
      <c r="O55" s="216"/>
      <c r="P55" s="216"/>
      <c r="Q55" s="216"/>
      <c r="R55" s="216"/>
    </row>
    <row r="56" spans="1:20" s="215" customFormat="1" ht="8.25" hidden="1">
      <c r="E56" s="229">
        <v>23</v>
      </c>
      <c r="F56" s="263">
        <v>1</v>
      </c>
      <c r="G56" s="242">
        <v>0</v>
      </c>
      <c r="K56" s="57"/>
      <c r="L56" s="248"/>
      <c r="M56" s="270"/>
      <c r="N56" s="270"/>
      <c r="O56" s="216"/>
      <c r="P56" s="216"/>
      <c r="Q56" s="216"/>
      <c r="R56" s="216"/>
    </row>
    <row r="57" spans="1:20" s="215" customFormat="1" ht="8.25" hidden="1">
      <c r="E57" s="256">
        <v>24</v>
      </c>
      <c r="F57" s="271">
        <v>0</v>
      </c>
      <c r="G57" s="221">
        <v>0</v>
      </c>
      <c r="K57" s="57"/>
      <c r="L57" s="248"/>
      <c r="M57" s="270"/>
      <c r="N57" s="270"/>
      <c r="O57" s="216"/>
      <c r="P57" s="216"/>
      <c r="Q57" s="216"/>
      <c r="R57" s="216"/>
    </row>
    <row r="58" spans="1:20" s="215" customFormat="1" ht="9" hidden="1" thickBot="1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7"/>
      <c r="L58" s="318"/>
      <c r="M58" s="319"/>
      <c r="N58" s="319"/>
      <c r="O58" s="320"/>
      <c r="P58" s="320"/>
      <c r="Q58" s="320"/>
      <c r="R58" s="320"/>
      <c r="S58" s="316"/>
      <c r="T58" s="316"/>
    </row>
    <row r="59" spans="1:20" s="215" customFormat="1" ht="9" hidden="1" thickTop="1">
      <c r="A59" s="370"/>
      <c r="B59" s="364"/>
      <c r="C59" s="379"/>
      <c r="K59" s="263"/>
      <c r="L59" s="263"/>
      <c r="M59" s="216"/>
      <c r="N59" s="216"/>
      <c r="O59" s="216"/>
      <c r="P59" s="216"/>
      <c r="Q59" s="216"/>
      <c r="R59" s="216"/>
    </row>
    <row r="60" spans="1:20" s="215" customFormat="1" ht="8.25" hidden="1">
      <c r="A60" s="544" t="s">
        <v>107</v>
      </c>
      <c r="B60" s="544"/>
      <c r="C60" s="379"/>
      <c r="D60" s="336" t="s">
        <v>18</v>
      </c>
      <c r="E60" s="337" t="s">
        <v>10</v>
      </c>
      <c r="F60" s="216"/>
      <c r="G60" s="216"/>
      <c r="H60" s="216"/>
      <c r="K60" s="263"/>
      <c r="L60" s="263"/>
      <c r="M60" s="216"/>
      <c r="N60" s="216"/>
      <c r="O60" s="216"/>
      <c r="P60" s="216"/>
      <c r="Q60" s="216"/>
      <c r="R60" s="216"/>
    </row>
    <row r="61" spans="1:20" s="215" customFormat="1" ht="8.25" hidden="1">
      <c r="A61" s="380"/>
      <c r="B61" s="381"/>
      <c r="C61" s="379"/>
      <c r="D61" s="545" t="s">
        <v>11</v>
      </c>
      <c r="E61" s="338">
        <f>VALUE(LEFT(F61,1))</f>
        <v>3</v>
      </c>
      <c r="F61" s="339" t="s">
        <v>139</v>
      </c>
      <c r="G61" s="216"/>
      <c r="H61" s="216"/>
      <c r="K61" s="263"/>
      <c r="L61" s="263"/>
      <c r="M61" s="216"/>
      <c r="N61" s="216"/>
      <c r="O61" s="216"/>
      <c r="P61" s="216"/>
      <c r="Q61" s="216"/>
      <c r="R61" s="216"/>
    </row>
    <row r="62" spans="1:20" s="215" customFormat="1" ht="8.25" hidden="1">
      <c r="A62" s="380" t="s">
        <v>3</v>
      </c>
      <c r="B62" s="382" t="str">
        <f>B3</f>
        <v>Ζ΄ ΕΝΩΣΗ</v>
      </c>
      <c r="C62" s="379"/>
      <c r="D62" s="546"/>
      <c r="E62" s="340">
        <f>VALUE(RIGHT(F61,1))</f>
        <v>4</v>
      </c>
      <c r="F62" s="216"/>
      <c r="G62" s="216"/>
      <c r="H62" s="216"/>
      <c r="K62" s="263"/>
      <c r="L62" s="263"/>
      <c r="M62" s="216"/>
      <c r="N62" s="216"/>
      <c r="O62" s="216"/>
      <c r="P62" s="216"/>
      <c r="Q62" s="216"/>
      <c r="R62" s="216"/>
    </row>
    <row r="63" spans="1:20" s="215" customFormat="1" ht="8.25" hidden="1">
      <c r="A63" s="380" t="s">
        <v>4</v>
      </c>
      <c r="B63" s="383" t="str">
        <f t="shared" ref="B63:B70" si="9">B4</f>
        <v>3ο Ε3 2014</v>
      </c>
      <c r="C63" s="379"/>
      <c r="D63" s="57"/>
      <c r="E63" s="57"/>
      <c r="F63" s="216"/>
      <c r="G63" s="216"/>
      <c r="H63" s="216"/>
      <c r="K63" s="263"/>
      <c r="L63" s="263"/>
      <c r="M63" s="216"/>
      <c r="N63" s="216"/>
      <c r="O63" s="216"/>
      <c r="P63" s="216"/>
      <c r="Q63" s="216"/>
      <c r="R63" s="216"/>
    </row>
    <row r="64" spans="1:20" s="215" customFormat="1" ht="9" hidden="1">
      <c r="A64" s="384" t="s">
        <v>98</v>
      </c>
      <c r="B64" s="383" t="str">
        <f t="shared" si="9"/>
        <v>e2-12</v>
      </c>
      <c r="C64" s="379"/>
      <c r="D64" s="57"/>
      <c r="E64" s="57"/>
      <c r="F64" s="57"/>
      <c r="G64" s="216"/>
      <c r="H64" s="216"/>
      <c r="K64" s="263"/>
      <c r="L64" s="263"/>
      <c r="M64" s="216"/>
      <c r="N64" s="216"/>
      <c r="O64" s="216"/>
      <c r="P64" s="216"/>
      <c r="Q64" s="216"/>
      <c r="R64" s="216"/>
    </row>
    <row r="65" spans="1:18" s="215" customFormat="1" ht="8.25" hidden="1">
      <c r="A65" s="380" t="s">
        <v>5</v>
      </c>
      <c r="B65" s="383" t="str">
        <f t="shared" si="9"/>
        <v>Γ.Σ. ΛΙΒΥΚΟΣ ΙΕΡΑΠΕΤΡΑΣ</v>
      </c>
      <c r="C65" s="379"/>
      <c r="D65" s="341"/>
      <c r="E65" s="57"/>
      <c r="F65" s="57"/>
      <c r="G65" s="216"/>
      <c r="H65" s="216"/>
      <c r="K65" s="263"/>
      <c r="L65" s="263"/>
      <c r="M65" s="216"/>
      <c r="N65" s="216"/>
      <c r="O65" s="216"/>
      <c r="P65" s="216"/>
      <c r="Q65" s="216"/>
      <c r="R65" s="216"/>
    </row>
    <row r="66" spans="1:18" s="215" customFormat="1" ht="8.25" hidden="1">
      <c r="A66" s="380" t="s">
        <v>97</v>
      </c>
      <c r="B66" s="383" t="str">
        <f t="shared" si="9"/>
        <v>Κ14</v>
      </c>
      <c r="C66" s="379"/>
      <c r="D66" s="342" t="s">
        <v>140</v>
      </c>
      <c r="E66" s="216"/>
      <c r="F66" s="216"/>
      <c r="G66" s="216"/>
      <c r="H66" s="216"/>
      <c r="K66" s="263"/>
      <c r="L66" s="263"/>
      <c r="M66" s="216"/>
      <c r="N66" s="216"/>
      <c r="O66" s="216"/>
      <c r="P66" s="216"/>
      <c r="Q66" s="216"/>
      <c r="R66" s="216"/>
    </row>
    <row r="67" spans="1:18" s="215" customFormat="1" ht="8.25" hidden="1">
      <c r="A67" s="380" t="s">
        <v>0</v>
      </c>
      <c r="B67" s="383" t="str">
        <f t="shared" si="9"/>
        <v>27</v>
      </c>
      <c r="C67" s="379"/>
      <c r="D67" s="341" t="s">
        <v>101</v>
      </c>
      <c r="E67" s="57"/>
      <c r="F67" s="57"/>
      <c r="G67" s="216"/>
      <c r="H67" s="216"/>
      <c r="K67" s="263"/>
      <c r="L67" s="263"/>
      <c r="M67" s="216"/>
      <c r="N67" s="216"/>
      <c r="O67" s="216"/>
      <c r="P67" s="216"/>
      <c r="Q67" s="216"/>
      <c r="R67" s="216"/>
    </row>
    <row r="68" spans="1:18" s="215" customFormat="1" ht="8.25" hidden="1">
      <c r="A68" s="380" t="s">
        <v>1</v>
      </c>
      <c r="B68" s="383" t="str">
        <f t="shared" si="9"/>
        <v xml:space="preserve">28 Σεπτεμβρίου </v>
      </c>
      <c r="D68" s="216" t="s">
        <v>102</v>
      </c>
      <c r="E68" s="216"/>
      <c r="F68" s="57"/>
      <c r="G68" s="216"/>
      <c r="H68" s="216"/>
      <c r="K68" s="263"/>
      <c r="L68" s="263"/>
      <c r="M68" s="216"/>
      <c r="N68" s="216"/>
      <c r="O68" s="216"/>
      <c r="P68" s="216"/>
      <c r="Q68" s="216"/>
      <c r="R68" s="216"/>
    </row>
    <row r="69" spans="1:18" s="215" customFormat="1" ht="8.25" hidden="1">
      <c r="A69" s="380" t="s">
        <v>2</v>
      </c>
      <c r="B69" s="383" t="str">
        <f t="shared" si="9"/>
        <v>Μαρίνα Μουτσάκη</v>
      </c>
      <c r="D69" s="216"/>
      <c r="E69" s="216"/>
      <c r="F69" s="216"/>
      <c r="G69" s="216"/>
      <c r="H69" s="216"/>
      <c r="K69" s="263"/>
      <c r="L69" s="263"/>
      <c r="M69" s="216"/>
      <c r="N69" s="216"/>
      <c r="O69" s="216"/>
      <c r="P69" s="216"/>
      <c r="Q69" s="216"/>
      <c r="R69" s="216"/>
    </row>
    <row r="70" spans="1:18" s="215" customFormat="1" ht="8.25" hidden="1">
      <c r="A70" s="380" t="s">
        <v>17</v>
      </c>
      <c r="B70" s="385">
        <f t="shared" si="9"/>
        <v>6988079366</v>
      </c>
      <c r="D70" s="217">
        <v>0</v>
      </c>
      <c r="E70" s="343" t="s">
        <v>10</v>
      </c>
      <c r="F70" s="227" t="s">
        <v>108</v>
      </c>
      <c r="G70" s="344" t="s">
        <v>23</v>
      </c>
      <c r="H70" s="345" t="s">
        <v>24</v>
      </c>
      <c r="K70" s="263"/>
      <c r="L70" s="263"/>
      <c r="M70" s="216"/>
      <c r="N70" s="216"/>
      <c r="O70" s="216"/>
      <c r="P70" s="216"/>
      <c r="Q70" s="216"/>
      <c r="R70" s="216"/>
    </row>
    <row r="71" spans="1:18" s="215" customFormat="1" ht="8.25" hidden="1">
      <c r="A71" s="380"/>
      <c r="D71" s="346">
        <f>IF(E71="-","-",IF(E71&gt;0,D70+1,0))</f>
        <v>0</v>
      </c>
      <c r="E71" s="338">
        <f>IF(F71&gt;0,VALUE(MID($D$66,1,F71-1)),"-")</f>
        <v>0</v>
      </c>
      <c r="F71" s="57">
        <f>IF(LEN($D$66)&gt;1,FIND(" ",$D$66,1),0)</f>
        <v>2</v>
      </c>
      <c r="G71" s="347">
        <v>0</v>
      </c>
      <c r="H71" s="348">
        <v>0</v>
      </c>
      <c r="K71" s="263"/>
      <c r="L71" s="263"/>
      <c r="M71" s="216"/>
      <c r="N71" s="216"/>
      <c r="O71" s="216"/>
      <c r="P71" s="216"/>
      <c r="Q71" s="216"/>
      <c r="R71" s="216"/>
    </row>
    <row r="72" spans="1:18" s="215" customFormat="1" ht="8.25" hidden="1">
      <c r="A72" s="380"/>
      <c r="B72" s="364"/>
      <c r="D72" s="231">
        <f>IF(E72="-","-",IF(E72&gt;0,D71+1,0))</f>
        <v>0</v>
      </c>
      <c r="E72" s="349">
        <f t="shared" ref="E72:E86" si="10">IF(F72&gt;0,VALUE(MID($D$66,F71+1,F72-F71-1)),"-")</f>
        <v>0</v>
      </c>
      <c r="F72" s="57">
        <f t="shared" ref="F72:F86" si="11">IF(AND(F71&gt;0,LEN($D$66)&gt;F71+1),FIND(" ",$D$66,F71+1),0)</f>
        <v>4</v>
      </c>
      <c r="G72" s="350">
        <v>0</v>
      </c>
      <c r="H72" s="351">
        <v>0</v>
      </c>
      <c r="K72" s="263"/>
      <c r="L72" s="263"/>
      <c r="M72" s="216"/>
      <c r="N72" s="216"/>
      <c r="O72" s="216"/>
      <c r="P72" s="216"/>
      <c r="Q72" s="216"/>
      <c r="R72" s="216"/>
    </row>
    <row r="73" spans="1:18" s="215" customFormat="1" ht="8.25" hidden="1">
      <c r="A73" s="380"/>
      <c r="B73" s="364"/>
      <c r="D73" s="231">
        <f>IF(E73="-","-",IF(E73&gt;0,D72+1,0))</f>
        <v>0</v>
      </c>
      <c r="E73" s="349">
        <f t="shared" si="10"/>
        <v>0</v>
      </c>
      <c r="F73" s="57">
        <f t="shared" si="11"/>
        <v>6</v>
      </c>
      <c r="G73" s="350">
        <v>0</v>
      </c>
      <c r="H73" s="351">
        <v>0</v>
      </c>
      <c r="K73" s="263"/>
      <c r="L73" s="263"/>
      <c r="M73" s="216"/>
      <c r="N73" s="216"/>
      <c r="O73" s="216"/>
      <c r="P73" s="216"/>
      <c r="Q73" s="216"/>
      <c r="R73" s="216"/>
    </row>
    <row r="74" spans="1:18" s="215" customFormat="1" ht="8.25" hidden="1">
      <c r="A74" s="380"/>
      <c r="B74" s="364"/>
      <c r="D74" s="231">
        <f t="shared" ref="D74:D86" si="12">IF(E74="-","-",IF(E74&gt;0,D73+1,0))</f>
        <v>0</v>
      </c>
      <c r="E74" s="349">
        <f t="shared" si="10"/>
        <v>0</v>
      </c>
      <c r="F74" s="57">
        <f t="shared" si="11"/>
        <v>8</v>
      </c>
      <c r="G74" s="350">
        <v>0</v>
      </c>
      <c r="H74" s="351">
        <v>0</v>
      </c>
      <c r="K74" s="263"/>
      <c r="L74" s="263"/>
      <c r="M74" s="216"/>
      <c r="N74" s="216"/>
      <c r="O74" s="216"/>
      <c r="P74" s="216"/>
      <c r="Q74" s="216"/>
      <c r="R74" s="216"/>
    </row>
    <row r="75" spans="1:18" s="215" customFormat="1" ht="8.25" hidden="1">
      <c r="A75" s="380"/>
      <c r="B75" s="364"/>
      <c r="D75" s="231">
        <f t="shared" si="12"/>
        <v>0</v>
      </c>
      <c r="E75" s="349">
        <f t="shared" si="10"/>
        <v>0</v>
      </c>
      <c r="F75" s="57">
        <f t="shared" si="11"/>
        <v>10</v>
      </c>
      <c r="G75" s="350">
        <v>0</v>
      </c>
      <c r="H75" s="351">
        <v>0</v>
      </c>
      <c r="K75" s="263"/>
      <c r="L75" s="263"/>
      <c r="M75" s="216"/>
      <c r="N75" s="216"/>
      <c r="O75" s="216"/>
      <c r="P75" s="216"/>
      <c r="Q75" s="216"/>
      <c r="R75" s="216"/>
    </row>
    <row r="76" spans="1:18" s="215" customFormat="1" ht="8.25" hidden="1">
      <c r="A76" s="386" t="s">
        <v>55</v>
      </c>
      <c r="B76" s="387" t="str">
        <f>"("&amp;COUNTBLANK('AL MD'!$D$3:$D$18)&amp;")"</f>
        <v>(6)</v>
      </c>
      <c r="D76" s="231">
        <f t="shared" si="12"/>
        <v>0</v>
      </c>
      <c r="E76" s="349">
        <f t="shared" si="10"/>
        <v>0</v>
      </c>
      <c r="F76" s="57">
        <f t="shared" si="11"/>
        <v>12</v>
      </c>
      <c r="G76" s="350">
        <v>0</v>
      </c>
      <c r="H76" s="351">
        <v>0</v>
      </c>
      <c r="K76" s="263"/>
      <c r="L76" s="263"/>
      <c r="M76" s="216"/>
      <c r="N76" s="216"/>
      <c r="O76" s="216"/>
      <c r="P76" s="216"/>
      <c r="Q76" s="216"/>
      <c r="R76" s="216"/>
    </row>
    <row r="77" spans="1:18" s="215" customFormat="1" ht="8.25" hidden="1">
      <c r="A77" s="388" t="s">
        <v>109</v>
      </c>
      <c r="B77" s="389">
        <f>COUNTBLANK('AL MD'!$D$3:$D$18)</f>
        <v>6</v>
      </c>
      <c r="D77" s="231">
        <f t="shared" si="12"/>
        <v>1</v>
      </c>
      <c r="E77" s="349">
        <f t="shared" si="10"/>
        <v>1</v>
      </c>
      <c r="F77" s="57">
        <f t="shared" si="11"/>
        <v>14</v>
      </c>
      <c r="G77" s="350">
        <v>1</v>
      </c>
      <c r="H77" s="351">
        <v>1</v>
      </c>
      <c r="K77" s="263"/>
      <c r="L77" s="263"/>
      <c r="M77" s="216"/>
      <c r="N77" s="216"/>
      <c r="O77" s="216"/>
      <c r="P77" s="216"/>
      <c r="Q77" s="216"/>
      <c r="R77" s="216"/>
    </row>
    <row r="78" spans="1:18" s="215" customFormat="1" ht="8.25" hidden="1">
      <c r="A78" s="390" t="s">
        <v>31</v>
      </c>
      <c r="B78" s="385">
        <v>4</v>
      </c>
      <c r="D78" s="231">
        <f t="shared" si="12"/>
        <v>2</v>
      </c>
      <c r="E78" s="349">
        <f t="shared" si="10"/>
        <v>2</v>
      </c>
      <c r="F78" s="57">
        <f t="shared" si="11"/>
        <v>16</v>
      </c>
      <c r="G78" s="350">
        <v>2</v>
      </c>
      <c r="H78" s="351">
        <v>2</v>
      </c>
      <c r="K78" s="263"/>
      <c r="L78" s="263"/>
      <c r="M78" s="216"/>
      <c r="N78" s="216"/>
      <c r="O78" s="216"/>
      <c r="P78" s="216"/>
      <c r="Q78" s="216"/>
      <c r="R78" s="216"/>
    </row>
    <row r="79" spans="1:18" s="215" customFormat="1" ht="8.25" hidden="1">
      <c r="A79" s="380"/>
      <c r="B79" s="364"/>
      <c r="D79" s="231">
        <f t="shared" si="12"/>
        <v>3</v>
      </c>
      <c r="E79" s="349">
        <f t="shared" si="10"/>
        <v>3</v>
      </c>
      <c r="F79" s="57">
        <f t="shared" si="11"/>
        <v>18</v>
      </c>
      <c r="G79" s="350">
        <v>3</v>
      </c>
      <c r="H79" s="351">
        <v>3</v>
      </c>
      <c r="K79" s="263"/>
      <c r="L79" s="263"/>
      <c r="M79" s="216"/>
      <c r="N79" s="216"/>
      <c r="O79" s="216"/>
      <c r="P79" s="216"/>
      <c r="Q79" s="216"/>
      <c r="R79" s="216"/>
    </row>
    <row r="80" spans="1:18" s="215" customFormat="1" ht="8.25" hidden="1">
      <c r="A80" s="380"/>
      <c r="B80" s="391"/>
      <c r="D80" s="231">
        <f t="shared" si="12"/>
        <v>4</v>
      </c>
      <c r="E80" s="349">
        <f t="shared" si="10"/>
        <v>4</v>
      </c>
      <c r="F80" s="57">
        <f t="shared" si="11"/>
        <v>20</v>
      </c>
      <c r="G80" s="350">
        <v>4</v>
      </c>
      <c r="H80" s="351">
        <v>4</v>
      </c>
      <c r="K80" s="263"/>
      <c r="L80" s="263"/>
      <c r="M80" s="216"/>
      <c r="N80" s="216"/>
      <c r="O80" s="216"/>
      <c r="P80" s="216"/>
      <c r="Q80" s="216"/>
      <c r="R80" s="216"/>
    </row>
    <row r="81" spans="1:19" s="215" customFormat="1" ht="8.25" hidden="1">
      <c r="A81" s="392"/>
      <c r="B81" s="391"/>
      <c r="D81" s="231">
        <f t="shared" si="12"/>
        <v>5</v>
      </c>
      <c r="E81" s="349">
        <f t="shared" si="10"/>
        <v>6</v>
      </c>
      <c r="F81" s="57">
        <f t="shared" si="11"/>
        <v>22</v>
      </c>
      <c r="G81" s="350">
        <v>5</v>
      </c>
      <c r="H81" s="351">
        <v>6</v>
      </c>
      <c r="K81" s="263"/>
      <c r="L81" s="263"/>
      <c r="M81" s="216"/>
      <c r="N81" s="216"/>
      <c r="O81" s="216"/>
      <c r="P81" s="216"/>
      <c r="Q81" s="216"/>
      <c r="R81" s="216"/>
    </row>
    <row r="82" spans="1:19" s="215" customFormat="1" ht="8.25" hidden="1">
      <c r="A82" s="380"/>
      <c r="B82" s="364"/>
      <c r="D82" s="231">
        <f t="shared" si="12"/>
        <v>6</v>
      </c>
      <c r="E82" s="349">
        <f t="shared" si="10"/>
        <v>9</v>
      </c>
      <c r="F82" s="57">
        <f t="shared" si="11"/>
        <v>24</v>
      </c>
      <c r="G82" s="350">
        <v>6</v>
      </c>
      <c r="H82" s="351">
        <v>9</v>
      </c>
      <c r="K82" s="263"/>
      <c r="L82" s="263"/>
      <c r="M82" s="216"/>
      <c r="N82" s="216"/>
      <c r="O82" s="216"/>
      <c r="P82" s="216"/>
      <c r="Q82" s="216"/>
      <c r="R82" s="216"/>
    </row>
    <row r="83" spans="1:19" s="215" customFormat="1" ht="8.25" hidden="1">
      <c r="A83" s="380" t="s">
        <v>74</v>
      </c>
      <c r="B83" s="364" t="s">
        <v>103</v>
      </c>
      <c r="D83" s="231">
        <f t="shared" si="12"/>
        <v>7</v>
      </c>
      <c r="E83" s="349">
        <f t="shared" si="10"/>
        <v>5</v>
      </c>
      <c r="F83" s="229">
        <f t="shared" si="11"/>
        <v>26</v>
      </c>
      <c r="G83" s="350">
        <v>7</v>
      </c>
      <c r="H83" s="351">
        <v>5</v>
      </c>
      <c r="K83" s="263"/>
      <c r="L83" s="263"/>
      <c r="M83" s="216"/>
      <c r="N83" s="216"/>
      <c r="O83" s="216"/>
      <c r="P83" s="216"/>
      <c r="Q83" s="216"/>
      <c r="R83" s="216"/>
    </row>
    <row r="84" spans="1:19" s="215" customFormat="1" ht="8.25" hidden="1">
      <c r="A84" s="380"/>
      <c r="B84" s="364"/>
      <c r="D84" s="231">
        <f t="shared" si="12"/>
        <v>8</v>
      </c>
      <c r="E84" s="349">
        <f t="shared" si="10"/>
        <v>8</v>
      </c>
      <c r="F84" s="229">
        <f t="shared" si="11"/>
        <v>28</v>
      </c>
      <c r="G84" s="350">
        <v>8</v>
      </c>
      <c r="H84" s="351">
        <v>8</v>
      </c>
      <c r="K84" s="263"/>
      <c r="L84" s="263"/>
      <c r="M84" s="216"/>
      <c r="N84" s="216"/>
      <c r="O84" s="216"/>
      <c r="P84" s="216"/>
      <c r="Q84" s="216"/>
      <c r="R84" s="216"/>
    </row>
    <row r="85" spans="1:19" s="215" customFormat="1" ht="8.25" hidden="1">
      <c r="A85" s="380"/>
      <c r="B85" s="364"/>
      <c r="D85" s="231">
        <f t="shared" si="12"/>
        <v>9</v>
      </c>
      <c r="E85" s="349">
        <f t="shared" si="10"/>
        <v>10</v>
      </c>
      <c r="F85" s="229">
        <f t="shared" si="11"/>
        <v>31</v>
      </c>
      <c r="G85" s="350">
        <v>9</v>
      </c>
      <c r="H85" s="351">
        <v>10</v>
      </c>
      <c r="K85" s="263"/>
      <c r="L85" s="263"/>
      <c r="M85" s="216"/>
      <c r="N85" s="216"/>
      <c r="O85" s="216"/>
      <c r="P85" s="216"/>
      <c r="Q85" s="216"/>
      <c r="R85" s="216"/>
    </row>
    <row r="86" spans="1:19" s="215" customFormat="1" ht="8.25" hidden="1">
      <c r="A86" s="369" t="s">
        <v>20</v>
      </c>
      <c r="D86" s="268">
        <f t="shared" si="12"/>
        <v>10</v>
      </c>
      <c r="E86" s="340">
        <f t="shared" si="10"/>
        <v>7</v>
      </c>
      <c r="F86" s="352">
        <f t="shared" si="11"/>
        <v>33</v>
      </c>
      <c r="G86" s="353">
        <v>10</v>
      </c>
      <c r="H86" s="354">
        <v>7</v>
      </c>
      <c r="K86" s="263"/>
      <c r="L86" s="263"/>
      <c r="M86" s="216"/>
      <c r="N86" s="216"/>
      <c r="O86" s="216"/>
      <c r="P86" s="216"/>
      <c r="Q86" s="216"/>
      <c r="R86" s="216"/>
    </row>
    <row r="87" spans="1:19" s="215" customFormat="1" ht="8.25" hidden="1">
      <c r="A87" s="393"/>
      <c r="D87" s="57"/>
      <c r="E87" s="57"/>
      <c r="F87" s="57"/>
      <c r="G87" s="216"/>
      <c r="H87" s="216"/>
      <c r="K87" s="263"/>
      <c r="L87" s="263"/>
      <c r="M87" s="216"/>
      <c r="N87" s="216"/>
      <c r="O87" s="216"/>
      <c r="P87" s="216"/>
      <c r="Q87" s="216"/>
      <c r="R87" s="216"/>
    </row>
    <row r="88" spans="1:19" s="215" customFormat="1" ht="8.25" hidden="1">
      <c r="A88" s="369" t="s">
        <v>111</v>
      </c>
      <c r="D88" s="57"/>
      <c r="E88" s="57"/>
      <c r="F88" s="57"/>
      <c r="G88" s="216"/>
      <c r="H88" s="216"/>
      <c r="K88" s="263"/>
      <c r="L88" s="263"/>
      <c r="M88" s="216"/>
      <c r="N88" s="216"/>
      <c r="O88" s="216"/>
      <c r="P88" s="216"/>
      <c r="Q88" s="216"/>
      <c r="R88" s="216"/>
    </row>
    <row r="89" spans="1:19" s="255" customFormat="1" ht="11.25">
      <c r="A89" s="332"/>
      <c r="D89" s="57"/>
      <c r="E89" s="57"/>
      <c r="F89" s="57"/>
      <c r="G89" s="216"/>
      <c r="H89" s="216"/>
      <c r="I89" s="215"/>
      <c r="J89" s="215"/>
      <c r="K89" s="263"/>
      <c r="L89" s="263"/>
      <c r="M89" s="216"/>
      <c r="N89" s="216"/>
      <c r="O89" s="216"/>
      <c r="P89" s="216"/>
      <c r="Q89" s="216"/>
      <c r="R89" s="216"/>
      <c r="S89" s="215"/>
    </row>
    <row r="90" spans="1:19" s="255" customFormat="1" ht="11.25">
      <c r="A90" s="333"/>
      <c r="C90" s="255" t="s">
        <v>22</v>
      </c>
      <c r="D90" s="57"/>
      <c r="E90" s="57"/>
      <c r="F90" s="57"/>
      <c r="G90" s="216"/>
      <c r="H90" s="216"/>
      <c r="I90" s="215"/>
      <c r="J90" s="215"/>
      <c r="K90" s="263"/>
      <c r="L90" s="263"/>
      <c r="M90" s="216"/>
      <c r="N90" s="216"/>
      <c r="O90" s="216"/>
      <c r="P90" s="216"/>
      <c r="Q90" s="216"/>
      <c r="R90" s="216"/>
      <c r="S90" s="215"/>
    </row>
    <row r="91" spans="1:19" s="255" customFormat="1" ht="11.25">
      <c r="A91" s="333"/>
      <c r="B91" s="265"/>
      <c r="C91" s="334"/>
      <c r="D91" s="215"/>
      <c r="E91" s="215"/>
      <c r="F91" s="215"/>
      <c r="G91" s="215"/>
      <c r="H91" s="215"/>
      <c r="I91" s="215"/>
      <c r="J91" s="215"/>
      <c r="K91" s="263"/>
      <c r="L91" s="263"/>
      <c r="M91" s="216"/>
      <c r="N91" s="216"/>
      <c r="O91" s="216"/>
      <c r="P91" s="216"/>
      <c r="Q91" s="216"/>
      <c r="R91" s="216"/>
      <c r="S91" s="215"/>
    </row>
    <row r="92" spans="1:19" s="255" customFormat="1" ht="11.25">
      <c r="A92" s="333"/>
      <c r="B92" s="265"/>
      <c r="C92" s="334"/>
      <c r="D92" s="215"/>
      <c r="E92" s="215"/>
      <c r="F92" s="215"/>
      <c r="G92" s="215"/>
      <c r="H92" s="215"/>
      <c r="I92" s="215"/>
      <c r="J92" s="215"/>
      <c r="K92" s="263"/>
      <c r="L92" s="263"/>
      <c r="M92" s="216"/>
      <c r="N92" s="216"/>
      <c r="O92" s="216"/>
      <c r="P92" s="216"/>
      <c r="Q92" s="216"/>
      <c r="R92" s="216"/>
      <c r="S92" s="215"/>
    </row>
    <row r="93" spans="1:19" s="255" customFormat="1" ht="11.25">
      <c r="A93" s="333"/>
      <c r="B93" s="265"/>
      <c r="C93" s="334"/>
      <c r="D93" s="215"/>
      <c r="E93" s="215"/>
      <c r="F93" s="215"/>
      <c r="G93" s="215"/>
      <c r="H93" s="215"/>
      <c r="I93" s="215"/>
      <c r="J93" s="215"/>
      <c r="K93" s="263"/>
      <c r="L93" s="263"/>
      <c r="M93" s="216"/>
      <c r="N93" s="216"/>
      <c r="O93" s="216"/>
      <c r="P93" s="216"/>
      <c r="Q93" s="216"/>
      <c r="R93" s="216"/>
      <c r="S93" s="215"/>
    </row>
    <row r="94" spans="1:19" s="255" customFormat="1" ht="11.25">
      <c r="A94" s="333"/>
      <c r="B94" s="265"/>
      <c r="C94" s="334"/>
      <c r="D94" s="215"/>
      <c r="E94" s="215"/>
      <c r="F94" s="215"/>
      <c r="G94" s="215"/>
      <c r="H94" s="215"/>
      <c r="I94" s="215"/>
      <c r="J94" s="215"/>
      <c r="K94" s="263"/>
      <c r="L94" s="263"/>
      <c r="M94" s="216"/>
      <c r="N94" s="216"/>
      <c r="O94" s="216"/>
      <c r="P94" s="216"/>
      <c r="Q94" s="216"/>
      <c r="R94" s="216"/>
      <c r="S94" s="215"/>
    </row>
  </sheetData>
  <sheetProtection password="CF33" sheet="1" objects="1" scenarios="1" formatColumns="0" formatRows="0"/>
  <mergeCells count="10">
    <mergeCell ref="A60:B60"/>
    <mergeCell ref="D61:D62"/>
    <mergeCell ref="N2:R2"/>
    <mergeCell ref="K4:K5"/>
    <mergeCell ref="K7:K10"/>
    <mergeCell ref="A1:B1"/>
    <mergeCell ref="E13:I13"/>
    <mergeCell ref="E4:E11"/>
    <mergeCell ref="E2:H2"/>
    <mergeCell ref="K2:L2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opLeftCell="A46" zoomScaleNormal="100" workbookViewId="0">
      <selection activeCell="C6" sqref="C6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64" t="str">
        <f>Setup!$B$3 &amp; ", " &amp; Setup!$B$4 &amp; ", " &amp; Setup!$B$6  &amp; " (" &amp; Setup!$B$7 &amp; ")"</f>
        <v>Ζ΄ ΕΝΩΣΗ, 3ο Ε3 2014, Γ.Σ. ΛΙΒΥΚΟΣ ΙΕΡΑΠΕΤΡΑΣ (Κ14)</v>
      </c>
      <c r="B1" s="564"/>
      <c r="C1" s="564"/>
      <c r="D1" s="564"/>
      <c r="E1" s="564"/>
      <c r="G1" s="15" t="s">
        <v>30</v>
      </c>
    </row>
    <row r="2" spans="1:7" ht="12.75">
      <c r="A2" s="565" t="str">
        <f>Setup!$B$10</f>
        <v>Μαρίνα Μουτσάκη</v>
      </c>
      <c r="B2" s="565"/>
      <c r="C2" s="565"/>
      <c r="D2" s="565"/>
      <c r="E2" s="565"/>
    </row>
    <row r="3" spans="1:7">
      <c r="A3" s="16"/>
      <c r="B3" s="8"/>
      <c r="C3" s="8"/>
      <c r="D3" s="8"/>
      <c r="E3" s="8"/>
    </row>
    <row r="4" spans="1:7" ht="18">
      <c r="A4" s="566" t="s">
        <v>69</v>
      </c>
      <c r="B4" s="567"/>
      <c r="C4" s="567"/>
      <c r="D4" s="23"/>
      <c r="E4" s="14" t="s">
        <v>68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Κ14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Κ14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Κ14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Κ14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Κ14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Κ14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Κ14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Κ14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Κ14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Κ14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Κ14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Κ14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Κ14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Κ14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Κ14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Κ14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66" t="s">
        <v>69</v>
      </c>
      <c r="B23" s="567"/>
      <c r="C23" s="567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Κ14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Κ14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Κ14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Κ14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Κ14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Κ14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Κ14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Κ14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66" t="s">
        <v>67</v>
      </c>
      <c r="B36" s="567"/>
      <c r="C36" s="567"/>
      <c r="D36" s="23"/>
      <c r="E36" s="14" t="s">
        <v>68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Κ14</v>
      </c>
      <c r="C38" s="3" t="str">
        <f>IF(OR(MD!J5="bye",MD!J5="LWD"),"",CONCATENATE(LEFT(MD!J5,FIND(" ",MD!J5)+1)," (",MD!L5,")"))</f>
        <v/>
      </c>
      <c r="D38" s="11" t="str">
        <f t="shared" ref="D38:D53" si="2">IF(OR(C38="",E38="")," ","-")</f>
        <v xml:space="preserve"> </v>
      </c>
      <c r="E38" s="3" t="str">
        <f>IF(OR(MD!J6="bye",MD!J6="LWD"), "", CONCATENATE(LEFT(MD!J6,FIND(" ",MD!J6)+1)," (",MD!L6,")"))</f>
        <v/>
      </c>
    </row>
    <row r="39" spans="1:5">
      <c r="A39" s="16"/>
      <c r="B39" s="6" t="str">
        <f>Setup!$B$7</f>
        <v>Κ14</v>
      </c>
      <c r="C39" s="3" t="str">
        <f>IF(OR(MD!J7="bye",MD!J7="LWD"),"",CONCATENATE(LEFT(MD!J7,FIND(" ",MD!J7)+1)," (",MD!L7,")"))</f>
        <v/>
      </c>
      <c r="D39" s="11" t="str">
        <f t="shared" si="2"/>
        <v xml:space="preserve"> </v>
      </c>
      <c r="E39" s="3" t="str">
        <f>IF(OR(MD!J8="bye",MD!J8="LWD"), "", CONCATENATE(LEFT(MD!J8,FIND(" ",MD!J8)+1)," (",MD!L8,")"))</f>
        <v/>
      </c>
    </row>
    <row r="40" spans="1:5">
      <c r="A40" s="16"/>
      <c r="B40" s="6" t="str">
        <f>Setup!$B$7</f>
        <v>Κ14</v>
      </c>
      <c r="C40" s="3" t="str">
        <f>IF(OR(MD!J9="bye",MD!J9="LWD"),"",CONCATENATE(LEFT(MD!J9,FIND(" ",MD!J9)+1)," (",MD!L9,")"))</f>
        <v/>
      </c>
      <c r="D40" s="11" t="str">
        <f t="shared" si="2"/>
        <v xml:space="preserve"> </v>
      </c>
      <c r="E40" s="3" t="str">
        <f>IF(OR(MD!J10="bye",MD!J10="LWD"), "", CONCATENATE(LEFT(MD!J10,FIND(" ",MD!J10)+1)," (",MD!L10,")"))</f>
        <v/>
      </c>
    </row>
    <row r="41" spans="1:5">
      <c r="A41" s="16"/>
      <c r="B41" s="6" t="str">
        <f>Setup!$B$7</f>
        <v>Κ14</v>
      </c>
      <c r="C41" s="3" t="str">
        <f>IF(OR(MD!J11="bye",MD!J11="LWD"),"",CONCATENATE(LEFT(MD!J11,FIND(" ",MD!J11)+1)," (",MD!L11,")"))</f>
        <v/>
      </c>
      <c r="D41" s="11" t="str">
        <f t="shared" si="2"/>
        <v xml:space="preserve"> </v>
      </c>
      <c r="E41" s="3" t="str">
        <f>IF(OR(MD!J12="bye",MD!J12="LWD"), "", CONCATENATE(LEFT(MD!J12,FIND(" ",MD!J12)+1)," (",MD!L12,")"))</f>
        <v/>
      </c>
    </row>
    <row r="42" spans="1:5">
      <c r="A42" s="16" t="s">
        <v>16</v>
      </c>
      <c r="B42" s="6" t="str">
        <f>Setup!$B$7</f>
        <v>Κ14</v>
      </c>
      <c r="C42" s="3" t="str">
        <f>IF(OR(MD!J13="bye",MD!J13="LWD"),"",CONCATENATE(LEFT(MD!J13,FIND(" ",MD!J13)+1)," (",MD!L13,")"))</f>
        <v/>
      </c>
      <c r="D42" s="11" t="str">
        <f t="shared" si="2"/>
        <v xml:space="preserve"> </v>
      </c>
      <c r="E42" s="3" t="str">
        <f>IF(OR(MD!J14="bye",MD!J14="LWD"), "", CONCATENATE(LEFT(MD!J14,FIND(" ",MD!J14)+1)," (",MD!L14,")"))</f>
        <v/>
      </c>
    </row>
    <row r="43" spans="1:5">
      <c r="B43" s="6" t="str">
        <f>Setup!$B$7</f>
        <v>Κ14</v>
      </c>
      <c r="C43" s="3" t="str">
        <f>IF(OR(MD!J15="bye",MD!J15="LWD"),"",CONCATENATE(LEFT(MD!J15,FIND(" ",MD!J15)+1)," (",MD!L15,")"))</f>
        <v/>
      </c>
      <c r="D43" s="11" t="str">
        <f t="shared" si="2"/>
        <v xml:space="preserve"> </v>
      </c>
      <c r="E43" s="3" t="str">
        <f>IF(OR(MD!J16="bye",MD!J16="LWD"), "", CONCATENATE(LEFT(MD!J16,FIND(" ",MD!J16)+1)," (",MD!L16,")"))</f>
        <v/>
      </c>
    </row>
    <row r="44" spans="1:5">
      <c r="A44" s="9"/>
      <c r="B44" s="6" t="str">
        <f>Setup!$B$7</f>
        <v>Κ14</v>
      </c>
      <c r="C44" s="3" t="str">
        <f>IF(OR(MD!J17="bye",MD!J17="LWD"),"",CONCATENATE(LEFT(MD!J17,FIND(" ",MD!J17)+1)," (",MD!L17,")"))</f>
        <v/>
      </c>
      <c r="D44" s="11" t="str">
        <f t="shared" si="2"/>
        <v xml:space="preserve"> </v>
      </c>
      <c r="E44" s="3" t="str">
        <f>IF(OR(MD!J18="bye",MD!J18="LWD"), "", CONCATENATE(LEFT(MD!J18,FIND(" ",MD!J18)+1)," (",MD!L18,")"))</f>
        <v/>
      </c>
    </row>
    <row r="45" spans="1:5">
      <c r="A45" s="9"/>
      <c r="B45" s="6" t="str">
        <f>Setup!$B$7</f>
        <v>Κ14</v>
      </c>
      <c r="C45" s="3" t="str">
        <f>IF(OR(MD!J19="bye",MD!J19="LWD"),"",CONCATENATE(LEFT(MD!J19,FIND(" ",MD!J19)+1)," (",MD!L19,")"))</f>
        <v/>
      </c>
      <c r="D45" s="11" t="str">
        <f t="shared" si="2"/>
        <v xml:space="preserve"> </v>
      </c>
      <c r="E45" s="3" t="str">
        <f>IF(OR(MD!J20="bye",MD!J20="LWD"), "", CONCATENATE(LEFT(MD!J20,FIND(" ",MD!J20)+1)," (",MD!L20,")"))</f>
        <v/>
      </c>
    </row>
    <row r="46" spans="1:5">
      <c r="A46" s="16" t="s">
        <v>16</v>
      </c>
      <c r="B46" s="6" t="str">
        <f>Setup!$B$7</f>
        <v>Κ14</v>
      </c>
      <c r="C46" s="3" t="str">
        <f>IF(OR(MD!J21="bye",MD!J21="LWD"),"",CONCATENATE(LEFT(MD!J21,FIND(" ",MD!J21)+1)," (",MD!L21,")"))</f>
        <v/>
      </c>
      <c r="D46" s="11" t="str">
        <f t="shared" si="2"/>
        <v xml:space="preserve"> </v>
      </c>
      <c r="E46" s="3" t="str">
        <f>IF(OR(MD!J22="bye",MD!J22="LWD"), "", CONCATENATE(LEFT(MD!J22,FIND(" ",MD!J22)+1)," (",MD!L22,")"))</f>
        <v/>
      </c>
    </row>
    <row r="47" spans="1:5">
      <c r="A47" s="9"/>
      <c r="B47" s="6" t="str">
        <f>Setup!$B$7</f>
        <v>Κ14</v>
      </c>
      <c r="C47" s="3" t="str">
        <f>IF(OR(MD!J23="bye",MD!J23="LWD"),"",CONCATENATE(LEFT(MD!J23,FIND(" ",MD!J23)+1)," (",MD!L23,")"))</f>
        <v/>
      </c>
      <c r="D47" s="11" t="str">
        <f t="shared" si="2"/>
        <v xml:space="preserve"> </v>
      </c>
      <c r="E47" s="3" t="str">
        <f>IF(OR(MD!J24="bye",MD!J24="LWD"), "", CONCATENATE(LEFT(MD!J24,FIND(" ",MD!J24)+1)," (",MD!L24,")"))</f>
        <v/>
      </c>
    </row>
    <row r="48" spans="1:5">
      <c r="B48" s="6" t="str">
        <f>Setup!$B$7</f>
        <v>Κ14</v>
      </c>
      <c r="C48" s="3" t="str">
        <f>IF(OR(MD!J25="bye",MD!J25="LWD"),"",CONCATENATE(LEFT(MD!J25,FIND(" ",MD!J25)+1)," (",MD!L25,")"))</f>
        <v/>
      </c>
      <c r="D48" s="11" t="str">
        <f t="shared" si="2"/>
        <v xml:space="preserve"> </v>
      </c>
      <c r="E48" s="3" t="str">
        <f>IF(OR(MD!J26="bye",MD!J26="LWD"), "", CONCATENATE(LEFT(MD!J26,FIND(" ",MD!J26)+1)," (",MD!L26,")"))</f>
        <v/>
      </c>
    </row>
    <row r="49" spans="1:5">
      <c r="A49" s="9"/>
      <c r="B49" s="6" t="str">
        <f>Setup!$B$7</f>
        <v>Κ14</v>
      </c>
      <c r="C49" s="3" t="str">
        <f>IF(OR(MD!J27="bye",MD!J27="LWD"),"",CONCATENATE(LEFT(MD!J27,FIND(" ",MD!J27)+1)," (",MD!L27,")"))</f>
        <v/>
      </c>
      <c r="D49" s="11" t="str">
        <f t="shared" si="2"/>
        <v xml:space="preserve"> </v>
      </c>
      <c r="E49" s="3" t="str">
        <f>IF(OR(MD!J28="bye",MD!J28="LWD"), "", CONCATENATE(LEFT(MD!J28,FIND(" ",MD!J28)+1)," (",MD!L28,")"))</f>
        <v/>
      </c>
    </row>
    <row r="50" spans="1:5">
      <c r="A50" s="16" t="s">
        <v>16</v>
      </c>
      <c r="B50" s="6" t="str">
        <f>Setup!$B$7</f>
        <v>Κ14</v>
      </c>
      <c r="C50" s="3" t="str">
        <f>IF(OR(MD!J29="bye",MD!J29="LWD"),"",CONCATENATE(LEFT(MD!J29,FIND(" ",MD!J29)+1)," (",MD!L29,")"))</f>
        <v/>
      </c>
      <c r="D50" s="11" t="str">
        <f t="shared" si="2"/>
        <v xml:space="preserve"> </v>
      </c>
      <c r="E50" s="3" t="str">
        <f>IF(OR(MD!J30="bye",MD!J30="LWD"), "", CONCATENATE(LEFT(MD!J30,FIND(" ",MD!J30)+1)," (",MD!L30,")"))</f>
        <v/>
      </c>
    </row>
    <row r="51" spans="1:5">
      <c r="A51" s="9"/>
      <c r="B51" s="6" t="str">
        <f>Setup!$B$7</f>
        <v>Κ14</v>
      </c>
      <c r="C51" s="3" t="str">
        <f>IF(OR(MD!J31="bye",MD!J31="LWD"),"",CONCATENATE(LEFT(MD!J31,FIND(" ",MD!J31)+1)," (",MD!L31,")"))</f>
        <v/>
      </c>
      <c r="D51" s="11" t="str">
        <f t="shared" si="2"/>
        <v xml:space="preserve"> </v>
      </c>
      <c r="E51" s="3" t="str">
        <f>IF(OR(MD!J32="bye",MD!J32="LWD"), "", CONCATENATE(LEFT(MD!J32,FIND(" ",MD!J32)+1)," (",MD!L32,")"))</f>
        <v/>
      </c>
    </row>
    <row r="52" spans="1:5">
      <c r="A52" s="9"/>
      <c r="B52" s="6" t="str">
        <f>Setup!$B$7</f>
        <v>Κ14</v>
      </c>
      <c r="C52" s="3" t="str">
        <f>IF(OR(MD!J33="bye",MD!J33="LWD"),"",CONCATENATE(LEFT(MD!J33,FIND(" ",MD!J33)+1)," (",MD!L33,")"))</f>
        <v/>
      </c>
      <c r="D52" s="11" t="str">
        <f t="shared" si="2"/>
        <v xml:space="preserve"> </v>
      </c>
      <c r="E52" s="3" t="str">
        <f>IF(OR(MD!J34="bye",MD!J34="LWD"), "", CONCATENATE(LEFT(MD!J34,FIND(" ",MD!J34)+1)," (",MD!L34,")"))</f>
        <v/>
      </c>
    </row>
    <row r="53" spans="1:5">
      <c r="A53" s="16"/>
      <c r="B53" s="6" t="str">
        <f>Setup!$B$7</f>
        <v>Κ14</v>
      </c>
      <c r="C53" s="3" t="str">
        <f>IF(OR(MD!J35="bye",MD!J35="LWD"),"",CONCATENATE(LEFT(MD!J35,FIND(" ",MD!J35)+1)," (",MD!L35,")"))</f>
        <v/>
      </c>
      <c r="D53" s="11" t="str">
        <f t="shared" si="2"/>
        <v xml:space="preserve"> </v>
      </c>
      <c r="E53" s="3" t="str">
        <f>IF(OR(MD!J36="bye",MD!J36="LWD"), "", CONCATENATE(LEFT(MD!J36,FIND(" ",MD!J36)+1)," (",MD!L36,")"))</f>
        <v/>
      </c>
    </row>
    <row r="55" spans="1:5" ht="25.15" customHeight="1">
      <c r="A55" s="566" t="s">
        <v>67</v>
      </c>
      <c r="B55" s="567"/>
      <c r="C55" s="567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Κ14</v>
      </c>
      <c r="C57" s="3" t="str">
        <f>IF(MD!M5="", "", IF(MD!M5=1, CONCATENATE(LEFT(MD!J5,FIND(" ",MD!J5)+1)," (",MD!L5,")"),CONCATENATE(LEFT(MD!J6,FIND(" ",MD!J6)+1)," (",MD!L6,")")))</f>
        <v/>
      </c>
      <c r="D57" s="11" t="str">
        <f t="shared" ref="D57:D64" si="3">IF(OR(C57="",E57="")," ","-")</f>
        <v xml:space="preserve"> </v>
      </c>
      <c r="E57" s="3" t="str">
        <f>IF(MD!M7="", "", IF(MD!M7=1, CONCATENATE(LEFT(MD!J7,FIND(" ",MD!J7)+1)," (",MD!L7,")"),CONCATENATE(LEFT(MD!J8,FIND(" ",MD!J8)+1)," (",MD!L8,")")))</f>
        <v/>
      </c>
    </row>
    <row r="58" spans="1:5">
      <c r="A58" s="16"/>
      <c r="B58" s="6" t="str">
        <f>Setup!$B$7</f>
        <v>Κ14</v>
      </c>
      <c r="C58" s="3" t="str">
        <f>IF(MD!M9="", "", IF(MD!M9=1, CONCATENATE(LEFT(MD!J9,FIND(" ",MD!J9)+1)," (",MD!L9,")"),CONCATENATE(LEFT(MD!J10,FIND(" ",MD!J10)+1)," (",MD!L10,")")))</f>
        <v/>
      </c>
      <c r="D58" s="11" t="str">
        <f t="shared" si="3"/>
        <v xml:space="preserve"> </v>
      </c>
      <c r="E58" s="3" t="str">
        <f>IF(MD!M11="", "", IF(MD!M11=1, CONCATENATE(LEFT(MD!J11,FIND(" ",MD!J11)+1)," (",MD!L11,")"),CONCATENATE(LEFT(MD!J12,FIND(" ",MD!J12)+1)," (",MD!L12,")")))</f>
        <v/>
      </c>
    </row>
    <row r="59" spans="1:5">
      <c r="A59" s="16"/>
      <c r="B59" s="6" t="str">
        <f>Setup!$B$7</f>
        <v>Κ14</v>
      </c>
      <c r="C59" s="3" t="str">
        <f>IF(MD!M13="", "", IF(MD!M13=1, CONCATENATE(LEFT(MD!J13,FIND(" ",MD!J13)+1)," (",MD!L13,")"),CONCATENATE(LEFT(MD!J14,FIND(" ",MD!J14)+1)," (",MD!L14,")")))</f>
        <v/>
      </c>
      <c r="D59" s="11" t="str">
        <f t="shared" si="3"/>
        <v xml:space="preserve"> </v>
      </c>
      <c r="E59" s="3" t="str">
        <f>IF(MD!M15="", "", IF(MD!M15=1, CONCATENATE(LEFT(MD!J15,FIND(" ",MD!J15)+1)," (",MD!L15,")"),CONCATENATE(LEFT(MD!J16,FIND(" ",MD!J16)+1)," (",MD!L16,")")))</f>
        <v/>
      </c>
    </row>
    <row r="60" spans="1:5">
      <c r="A60" s="16"/>
      <c r="B60" s="6" t="str">
        <f>Setup!$B$7</f>
        <v>Κ14</v>
      </c>
      <c r="C60" s="3" t="str">
        <f>IF(MD!M17="", "", IF(MD!M17=1, CONCATENATE(LEFT(MD!J17,FIND(" ",MD!J17)+1)," (",MD!L17,")"),CONCATENATE(LEFT(MD!J18,FIND(" ",MD!J18)+1)," (",MD!L18,")")))</f>
        <v/>
      </c>
      <c r="D60" s="11" t="str">
        <f t="shared" si="3"/>
        <v xml:space="preserve"> </v>
      </c>
      <c r="E60" s="3" t="str">
        <f>IF(MD!M19="", "", IF(MD!M19=1, CONCATENATE(LEFT(MD!J19,FIND(" ",MD!J19)+1)," (",MD!L19,")"),CONCATENATE(LEFT(MD!J20,FIND(" ",MD!J20)+1)," (",MD!L20,")")))</f>
        <v/>
      </c>
    </row>
    <row r="61" spans="1:5">
      <c r="A61" s="16" t="s">
        <v>16</v>
      </c>
      <c r="B61" s="6" t="str">
        <f>Setup!$B$7</f>
        <v>Κ14</v>
      </c>
      <c r="C61" s="3" t="str">
        <f>IF(MD!M21="", "", IF(MD!M21=1, CONCATENATE(LEFT(MD!J21,FIND(" ",MD!J21)+1)," (",MD!L21,")"),CONCATENATE(LEFT(MD!J22,FIND(" ",MD!J22)+1)," (",MD!L22,")")))</f>
        <v/>
      </c>
      <c r="D61" s="11" t="str">
        <f t="shared" si="3"/>
        <v xml:space="preserve"> </v>
      </c>
      <c r="E61" s="3" t="str">
        <f>IF(MD!M23="", "", IF(MD!M23=1, CONCATENATE(LEFT(MD!J23,FIND(" ",MD!J23)+1)," (",MD!L23,")"),CONCATENATE(LEFT(MD!J24,FIND(" ",MD!J24)+1)," (",MD!L24,")")))</f>
        <v/>
      </c>
    </row>
    <row r="62" spans="1:5">
      <c r="B62" s="6" t="str">
        <f>Setup!$B$7</f>
        <v>Κ14</v>
      </c>
      <c r="C62" s="3" t="str">
        <f>IF(MD!M25="", "", IF(MD!M25=1, CONCATENATE(LEFT(MD!J25,FIND(" ",MD!J25)+1)," (",MD!L25,")"),CONCATENATE(LEFT(MD!J26,FIND(" ",MD!J26)+1)," (",MD!L26,")")))</f>
        <v/>
      </c>
      <c r="D62" s="11" t="str">
        <f t="shared" si="3"/>
        <v xml:space="preserve"> </v>
      </c>
      <c r="E62" s="3" t="str">
        <f>IF(MD!M27="", "", IF(MD!M27=1, CONCATENATE(LEFT(MD!J27,FIND(" ",MD!J27)+1)," (",MD!L27,")"),CONCATENATE(LEFT(MD!J28,FIND(" ",MD!J28)+1)," (",MD!L28,")")))</f>
        <v/>
      </c>
    </row>
    <row r="63" spans="1:5">
      <c r="A63" s="9"/>
      <c r="B63" s="6" t="str">
        <f>Setup!$B$7</f>
        <v>Κ14</v>
      </c>
      <c r="C63" s="3" t="str">
        <f>IF(MD!M29="", "", IF(MD!M29=1, CONCATENATE(LEFT(MD!J29,FIND(" ",MD!J29)+1)," (",MD!L29,")"),CONCATENATE(LEFT(MD!J30,FIND(" ",MD!J30)+1)," (",MD!L30,")")))</f>
        <v/>
      </c>
      <c r="D63" s="11" t="str">
        <f t="shared" si="3"/>
        <v xml:space="preserve"> </v>
      </c>
      <c r="E63" s="3" t="str">
        <f>IF(MD!M31="", "", IF(MD!M31=1, CONCATENATE(LEFT(MD!J31,FIND(" ",MD!J31)+1)," (",MD!L31,")"),CONCATENATE(LEFT(MD!J32,FIND(" ",MD!J32)+1)," (",MD!L32,")")))</f>
        <v/>
      </c>
    </row>
    <row r="64" spans="1:5">
      <c r="A64" s="9"/>
      <c r="B64" s="6" t="str">
        <f>Setup!$B$7</f>
        <v>Κ14</v>
      </c>
      <c r="C64" s="3" t="str">
        <f>IF(MD!M33="", "", IF(MD!M33=1, CONCATENATE(LEFT(MD!J33,FIND(" ",MD!J33)+1)," (",MD!L33,")"),CONCATENATE(LEFT(MD!J34,FIND(" ",MD!J34)+1)," (",MD!L34,")")))</f>
        <v/>
      </c>
      <c r="D64" s="11" t="str">
        <f t="shared" si="3"/>
        <v xml:space="preserve"> </v>
      </c>
      <c r="E64" s="3" t="str">
        <f>IF(MD!M35="", "", IF(MD!M35=1, CONCATENATE(LEFT(MD!J35,FIND(" ",MD!J35)+1)," (",MD!L35,")"),CONCATENATE(LEFT(MD!J36,FIND(" ",MD!J36)+1)," (",MD!L36,")")))</f>
        <v/>
      </c>
    </row>
    <row r="73" spans="1:5" ht="18">
      <c r="A73" s="566" t="s">
        <v>106</v>
      </c>
      <c r="B73" s="567"/>
      <c r="C73" s="567"/>
      <c r="D73" s="23"/>
      <c r="E73" s="14" t="s">
        <v>68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Κ14</v>
      </c>
      <c r="C75" s="3" t="str">
        <f>IF(OR('MD16'!J5="bye",'MD16'!J5="LWD"),"",CONCATENATE(LEFT('MD16'!J5,FIND(" ",'MD16'!J5)+1)," (",'MD16'!L5,")"))</f>
        <v>ΜΙΟΥΜΠΗ Μ (Ο.Α.ΧΑΝΙΩΝ)</v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Κ14</v>
      </c>
      <c r="C76" s="3" t="str">
        <f>IF(OR('MD16'!J7="bye",'MD16'!J7="LWD"),"",CONCATENATE(LEFT('MD16'!J7,FIND(" ",'MD16'!J7)+1)," (",'MD16'!L7,")"))</f>
        <v>ΒΕΛΙΒΑΣΣΑΚΗ Χ ("ΗΡΑΚΛΕΙΟ" Ο.Α.Α.)</v>
      </c>
      <c r="D76" s="11" t="str">
        <f t="shared" si="4"/>
        <v>-</v>
      </c>
      <c r="E76" s="3" t="str">
        <f>IF(OR('MD16'!J8="bye",'MD16'!J8="LWD"), "", CONCATENATE(LEFT('MD16'!J8,FIND(" ",'MD16'!J8)+1)," (",'MD16'!L8,")"))</f>
        <v>ΚΑΠΕΤΑΝΑΚΗ Ε ("ΗΡΑΚΛΕΙΟ" Ο.Α.Α.)</v>
      </c>
    </row>
    <row r="77" spans="1:5">
      <c r="A77" s="16"/>
      <c r="B77" s="6" t="str">
        <f>Setup!$B$7</f>
        <v>Κ14</v>
      </c>
      <c r="C77" s="3" t="str">
        <f>IF(OR('MD16'!J9="bye",'MD16'!J9="LWD"),"",CONCATENATE(LEFT('MD16'!J9,FIND(" ",'MD16'!J9)+1)," (",'MD16'!L9,")"))</f>
        <v>ΚΟΥΚΛΑΚΗ Ε (Ο.Α.ΧΑΝΙΩΝ)</v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Κ14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>ΚΟΥΡΙΔΑΚΗ Α (Ο.Α.ΧΑΝΙΩΝ)</v>
      </c>
    </row>
    <row r="79" spans="1:5">
      <c r="A79" s="16" t="s">
        <v>16</v>
      </c>
      <c r="B79" s="6" t="str">
        <f>Setup!$B$7</f>
        <v>Κ14</v>
      </c>
      <c r="C79" s="3" t="str">
        <f>IF(OR('MD16'!J13="bye",'MD16'!J13="LWD"),"",CONCATENATE(LEFT('MD16'!J13,FIND(" ",'MD16'!J13)+1)," (",'MD16'!L13,")"))</f>
        <v>ΜΠΑΛΑΣΚΑ Β (Ο Α ΣΟΥΔΑΣ)</v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Κ14</v>
      </c>
      <c r="C80" s="3" t="str">
        <f>IF(OR('MD16'!J15="bye",'MD16'!J15="LWD"),"",CONCATENATE(LEFT('MD16'!J15,FIND(" ",'MD16'!J15)+1)," (",'MD16'!L15,")"))</f>
        <v>ΒΑΡΒΕΡΑΚΗ Μ (Ο.Α.ΧΑΝΙΩΝ)</v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Κ14</v>
      </c>
      <c r="C81" s="3" t="str">
        <f>IF(OR('MD16'!J17="bye",'MD16'!J17="LWD"),"",CONCATENATE(LEFT('MD16'!J17,FIND(" ",'MD16'!J17)+1)," (",'MD16'!L17,")"))</f>
        <v>ΓΑΛΑΝΑΚΗ Ζ (Γ.Σ. ΛΙΒΥΚΟΣ ΙΕΡΑΠΕΤΡΑΣ)</v>
      </c>
      <c r="D81" s="11" t="str">
        <f t="shared" si="4"/>
        <v>-</v>
      </c>
      <c r="E81" s="3" t="str">
        <f>IF(OR('MD16'!J18="bye",'MD16'!J18="LWD"), "", CONCATENATE(LEFT('MD16'!J18,FIND(" ",'MD16'!J18)+1)," (",'MD16'!L18,")"))</f>
        <v>ΚΡΟΝΤΗΡΑ Ε ("ΗΡΑΚΛΕΙΟ" Ο.Α.Α.)</v>
      </c>
    </row>
    <row r="82" spans="1:5">
      <c r="A82" s="9"/>
      <c r="B82" s="6" t="str">
        <f>Setup!$B$7</f>
        <v>Κ14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>ΜΑΡΝΑΙΛΟΥ Μ ("ΗΡΑΚΛΕΙΟ" Ο.Α.Α.)</v>
      </c>
    </row>
    <row r="84" spans="1:5" ht="18">
      <c r="A84" s="566" t="s">
        <v>106</v>
      </c>
      <c r="B84" s="567"/>
      <c r="C84" s="567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Κ14</v>
      </c>
      <c r="C86" s="3" t="str">
        <f>IF('MD16'!M5="", "", IF('MD16'!M5=1, CONCATENATE(LEFT('MD16'!J5,FIND(" ",'MD16'!J5)+1)," (",'MD16'!L5,")"),CONCATENATE(LEFT('MD16'!J6,FIND(" ",'MD16'!J6)+1)," (",'MD16'!L6,")")))</f>
        <v>ΜΙΟΥΜΠΗ Μ (Ο.Α.ΧΑΝΙΩΝ)</v>
      </c>
      <c r="D86" s="11" t="str">
        <f>IF(OR(C86="",E86="")," ","-")</f>
        <v>-</v>
      </c>
      <c r="E86" s="3" t="str">
        <f>IF('MD16'!M7="", "", IF('MD16'!M7=1, CONCATENATE(LEFT('MD16'!J7,FIND(" ",'MD16'!J7)+1)," (",'MD16'!L7,")"),CONCATENATE(LEFT('MD16'!J8,FIND(" ",'MD16'!J8)+1)," (",'MD16'!L8,")")))</f>
        <v>ΒΕΛΙΒΑΣΣΑΚΗ Χ ("ΗΡΑΚΛΕΙΟ" Ο.Α.Α.)</v>
      </c>
    </row>
    <row r="87" spans="1:5">
      <c r="A87" s="16"/>
      <c r="B87" s="6" t="str">
        <f>Setup!$B$7</f>
        <v>Κ14</v>
      </c>
      <c r="C87" s="3" t="str">
        <f>IF('MD16'!M9="", "", IF('MD16'!M9=1, CONCATENATE(LEFT('MD16'!J9,FIND(" ",'MD16'!J9)+1)," (",'MD16'!L9,")"),CONCATENATE(LEFT('MD16'!J10,FIND(" ",'MD16'!J10)+1)," (",'MD16'!L10,")")))</f>
        <v>ΚΟΥΚΛΑΚΗ Ε (Ο.Α.ΧΑΝΙΩΝ)</v>
      </c>
      <c r="D87" s="11" t="str">
        <f>IF(OR(C87="",E87="")," ","-")</f>
        <v>-</v>
      </c>
      <c r="E87" s="3" t="str">
        <f>IF('MD16'!M11="", "", IF('MD16'!M11=1, CONCATENATE(LEFT('MD16'!J11,FIND(" ",'MD16'!J11)+1)," (",'MD16'!L11,")"),CONCATENATE(LEFT('MD16'!J12,FIND(" ",'MD16'!J12)+1)," (",'MD16'!L12,")")))</f>
        <v>ΚΟΥΡΙΔΑΚΗ Α (Ο.Α.ΧΑΝΙΩΝ)</v>
      </c>
    </row>
    <row r="88" spans="1:5">
      <c r="A88" s="16"/>
      <c r="B88" s="6" t="str">
        <f>Setup!$B$7</f>
        <v>Κ14</v>
      </c>
      <c r="C88" s="3" t="str">
        <f>IF('MD16'!M13="", "", IF('MD16'!M13=1, CONCATENATE(LEFT('MD16'!J13,FIND(" ",'MD16'!J13)+1)," (",'MD16'!L13,")"),CONCATENATE(LEFT('MD16'!J14,FIND(" ",'MD16'!J14)+1)," (",'MD16'!L14,")")))</f>
        <v>ΜΠΑΛΑΣΚΑ Β (Ο Α ΣΟΥΔΑΣ)</v>
      </c>
      <c r="D88" s="11" t="str">
        <f>IF(OR(C88="",E88="")," ","-")</f>
        <v>-</v>
      </c>
      <c r="E88" s="3" t="str">
        <f>IF('MD16'!M15="", "", IF('MD16'!M15=1, CONCATENATE(LEFT('MD16'!J15,FIND(" ",'MD16'!J15)+1)," (",'MD16'!L15,")"),CONCATENATE(LEFT('MD16'!J16,FIND(" ",'MD16'!J16)+1)," (",'MD16'!L16,")")))</f>
        <v>ΒΑΡΒΕΡΑΚΗ Μ (Ο.Α.ΧΑΝΙΩΝ)</v>
      </c>
    </row>
    <row r="89" spans="1:5">
      <c r="A89" s="16"/>
      <c r="B89" s="6" t="str">
        <f>Setup!$B$7</f>
        <v>Κ14</v>
      </c>
      <c r="C89" s="3" t="str">
        <f>IF('MD16'!M17="", "", IF('MD16'!M17=1, CONCATENATE(LEFT('MD16'!J17,FIND(" ",'MD16'!J17)+1)," (",'MD16'!L17,")"),CONCATENATE(LEFT('MD16'!J18,FIND(" ",'MD16'!J18)+1)," (",'MD16'!L18,")")))</f>
        <v>ΚΡΟΝΤΗΡΑ Ε ("ΗΡΑΚΛΕΙΟ" Ο.Α.Α.)</v>
      </c>
      <c r="D89" s="11" t="str">
        <f>IF(OR(C89="",E89="")," ","-")</f>
        <v>-</v>
      </c>
      <c r="E89" s="3" t="str">
        <f>IF('MD16'!M19="", "", IF('MD16'!M19=1, CONCATENATE(LEFT('MD16'!J19,FIND(" ",'MD16'!J19)+1)," (",'MD16'!L19,")"),CONCATENATE(LEFT('MD16'!J20,FIND(" ",'MD16'!J20)+1)," (",'MD16'!L20,")")))</f>
        <v>ΜΑΡΝΑΙΛΟΥ Μ ("ΗΡΑΚΛΕΙΟ" Ο.Α.Α.)</v>
      </c>
    </row>
    <row r="93" spans="1:5" ht="15.75">
      <c r="A93" s="307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7.28515625" style="479" bestFit="1" customWidth="1"/>
    <col min="2" max="2" width="8.28515625" style="479" customWidth="1"/>
    <col min="3" max="3" width="9.5703125" style="487" bestFit="1" customWidth="1"/>
    <col min="4" max="4" width="8.85546875" style="463"/>
    <col min="5" max="5" width="3.28515625" style="479" hidden="1" customWidth="1"/>
    <col min="6" max="6" width="4.7109375" style="479" hidden="1" customWidth="1"/>
    <col min="7" max="7" width="8.42578125" style="465" hidden="1" customWidth="1"/>
    <col min="8" max="8" width="8.85546875" style="463"/>
    <col min="9" max="9" width="2.85546875" style="533" bestFit="1" customWidth="1"/>
    <col min="10" max="11" width="5" style="533" bestFit="1" customWidth="1"/>
    <col min="12" max="13" width="4.42578125" style="533" bestFit="1" customWidth="1"/>
    <col min="14" max="14" width="3.5703125" style="533" bestFit="1" customWidth="1"/>
    <col min="15" max="16" width="4.42578125" style="533" bestFit="1" customWidth="1"/>
    <col min="17" max="17" width="2.85546875" style="533" bestFit="1" customWidth="1"/>
    <col min="18" max="19" width="5" style="533" bestFit="1" customWidth="1"/>
    <col min="20" max="21" width="4.42578125" style="533" bestFit="1" customWidth="1"/>
    <col min="22" max="24" width="3.5703125" style="533" bestFit="1" customWidth="1"/>
    <col min="25" max="16384" width="8.85546875" style="463"/>
  </cols>
  <sheetData>
    <row r="1" spans="1:24" ht="12" customHeight="1">
      <c r="A1" s="460" t="s">
        <v>38</v>
      </c>
      <c r="B1" s="461" t="s">
        <v>39</v>
      </c>
      <c r="C1" s="462" t="s">
        <v>40</v>
      </c>
      <c r="E1" s="464" t="s">
        <v>9</v>
      </c>
      <c r="F1" s="464" t="s">
        <v>10</v>
      </c>
      <c r="G1" s="465" t="s">
        <v>25</v>
      </c>
      <c r="I1" s="572" t="s">
        <v>87</v>
      </c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4"/>
    </row>
    <row r="2" spans="1:24">
      <c r="A2" s="466">
        <v>1</v>
      </c>
      <c r="B2" s="467">
        <f ca="1">RAND()/25</f>
        <v>7.1203801736811909E-3</v>
      </c>
      <c r="C2" s="467">
        <v>2.9760459517101837E-2</v>
      </c>
      <c r="E2" s="468">
        <v>1</v>
      </c>
      <c r="F2" s="469">
        <v>1</v>
      </c>
      <c r="I2" s="488"/>
      <c r="J2" s="489">
        <v>2014</v>
      </c>
      <c r="K2" s="490" t="s">
        <v>77</v>
      </c>
      <c r="L2" s="490" t="s">
        <v>78</v>
      </c>
      <c r="M2" s="491" t="s">
        <v>12</v>
      </c>
      <c r="N2" s="490" t="s">
        <v>11</v>
      </c>
      <c r="O2" s="492" t="s">
        <v>79</v>
      </c>
      <c r="P2" s="493" t="s">
        <v>80</v>
      </c>
      <c r="Q2" s="584"/>
      <c r="R2" s="585"/>
      <c r="S2" s="494" t="s">
        <v>77</v>
      </c>
      <c r="T2" s="494" t="s">
        <v>78</v>
      </c>
      <c r="U2" s="494" t="s">
        <v>12</v>
      </c>
      <c r="V2" s="494" t="s">
        <v>11</v>
      </c>
      <c r="W2" s="495" t="s">
        <v>79</v>
      </c>
      <c r="X2" s="496" t="s">
        <v>80</v>
      </c>
    </row>
    <row r="3" spans="1:24">
      <c r="A3" s="470">
        <v>2</v>
      </c>
      <c r="B3" s="471">
        <f ca="1">RAND()/25</f>
        <v>1.8490866351870184E-2</v>
      </c>
      <c r="C3" s="471">
        <v>4.1062914749102038E-3</v>
      </c>
      <c r="E3" s="472">
        <v>2</v>
      </c>
      <c r="F3" s="473"/>
      <c r="G3" s="474">
        <v>1</v>
      </c>
      <c r="I3" s="582" t="s">
        <v>88</v>
      </c>
      <c r="J3" s="497" t="s">
        <v>81</v>
      </c>
      <c r="K3" s="498">
        <v>1.5</v>
      </c>
      <c r="L3" s="498">
        <v>2</v>
      </c>
      <c r="M3" s="499">
        <v>2</v>
      </c>
      <c r="N3" s="499">
        <v>0</v>
      </c>
      <c r="O3" s="498">
        <v>0</v>
      </c>
      <c r="P3" s="499">
        <v>0</v>
      </c>
      <c r="Q3" s="582" t="s">
        <v>88</v>
      </c>
      <c r="R3" s="497" t="s">
        <v>81</v>
      </c>
      <c r="S3" s="498">
        <v>1.5</v>
      </c>
      <c r="T3" s="498">
        <v>0.5</v>
      </c>
      <c r="U3" s="498">
        <v>0</v>
      </c>
      <c r="V3" s="498">
        <v>0</v>
      </c>
      <c r="W3" s="498">
        <v>0</v>
      </c>
      <c r="X3" s="499">
        <v>0</v>
      </c>
    </row>
    <row r="4" spans="1:24">
      <c r="A4" s="470">
        <v>3</v>
      </c>
      <c r="B4" s="471">
        <f ca="1">RAND()/25</f>
        <v>8.0568865626833037E-3</v>
      </c>
      <c r="C4" s="471">
        <v>1.4950551001861302E-2</v>
      </c>
      <c r="E4" s="472">
        <v>3</v>
      </c>
      <c r="F4" s="473"/>
      <c r="G4" s="474"/>
      <c r="I4" s="583"/>
      <c r="J4" s="497" t="s">
        <v>82</v>
      </c>
      <c r="K4" s="500">
        <v>3</v>
      </c>
      <c r="L4" s="500">
        <v>4</v>
      </c>
      <c r="M4" s="501">
        <v>4</v>
      </c>
      <c r="N4" s="501">
        <v>0</v>
      </c>
      <c r="O4" s="500">
        <v>0</v>
      </c>
      <c r="P4" s="501">
        <v>0</v>
      </c>
      <c r="Q4" s="583"/>
      <c r="R4" s="497" t="s">
        <v>82</v>
      </c>
      <c r="S4" s="500">
        <v>3</v>
      </c>
      <c r="T4" s="500">
        <v>1</v>
      </c>
      <c r="U4" s="500">
        <v>0</v>
      </c>
      <c r="V4" s="500">
        <v>0</v>
      </c>
      <c r="W4" s="500">
        <v>0</v>
      </c>
      <c r="X4" s="501">
        <v>0</v>
      </c>
    </row>
    <row r="5" spans="1:24">
      <c r="A5" s="470">
        <v>4</v>
      </c>
      <c r="B5" s="471">
        <f ca="1">RAND()/25</f>
        <v>1.2006801976368173E-2</v>
      </c>
      <c r="C5" s="471">
        <v>1.3031640547454604E-3</v>
      </c>
      <c r="E5" s="475">
        <v>4</v>
      </c>
      <c r="F5" s="476"/>
      <c r="G5" s="474">
        <v>15</v>
      </c>
      <c r="I5" s="583"/>
      <c r="J5" s="497" t="s">
        <v>83</v>
      </c>
      <c r="K5" s="500">
        <v>6</v>
      </c>
      <c r="L5" s="500">
        <v>8</v>
      </c>
      <c r="M5" s="501">
        <v>8</v>
      </c>
      <c r="N5" s="501">
        <v>0</v>
      </c>
      <c r="O5" s="500">
        <v>0</v>
      </c>
      <c r="P5" s="501">
        <v>0</v>
      </c>
      <c r="Q5" s="583"/>
      <c r="R5" s="497" t="s">
        <v>83</v>
      </c>
      <c r="S5" s="500">
        <v>6</v>
      </c>
      <c r="T5" s="500">
        <v>2</v>
      </c>
      <c r="U5" s="500">
        <v>0</v>
      </c>
      <c r="V5" s="500">
        <v>0</v>
      </c>
      <c r="W5" s="500">
        <v>0</v>
      </c>
      <c r="X5" s="501">
        <v>0</v>
      </c>
    </row>
    <row r="6" spans="1:24">
      <c r="A6" s="470">
        <v>5</v>
      </c>
      <c r="B6" s="471">
        <f t="shared" ref="B6:B33" ca="1" si="0">RAND()/25</f>
        <v>1.6195585248351563E-3</v>
      </c>
      <c r="C6" s="471">
        <v>3.9880192241295916E-2</v>
      </c>
      <c r="E6" s="468">
        <v>5</v>
      </c>
      <c r="F6" s="469"/>
      <c r="G6" s="474"/>
      <c r="I6" s="570"/>
      <c r="J6" s="497" t="s">
        <v>84</v>
      </c>
      <c r="K6" s="502">
        <v>7.5</v>
      </c>
      <c r="L6" s="502">
        <v>10</v>
      </c>
      <c r="M6" s="503">
        <v>10</v>
      </c>
      <c r="N6" s="503">
        <v>0</v>
      </c>
      <c r="O6" s="502">
        <v>0</v>
      </c>
      <c r="P6" s="503">
        <v>0</v>
      </c>
      <c r="Q6" s="570"/>
      <c r="R6" s="497" t="s">
        <v>84</v>
      </c>
      <c r="S6" s="502">
        <v>7.5</v>
      </c>
      <c r="T6" s="502">
        <v>2.5</v>
      </c>
      <c r="U6" s="502">
        <v>0</v>
      </c>
      <c r="V6" s="502">
        <v>0</v>
      </c>
      <c r="W6" s="502">
        <v>0</v>
      </c>
      <c r="X6" s="503">
        <v>0</v>
      </c>
    </row>
    <row r="7" spans="1:24">
      <c r="A7" s="470">
        <v>6</v>
      </c>
      <c r="B7" s="471">
        <f t="shared" ca="1" si="0"/>
        <v>8.5905185332746832E-3</v>
      </c>
      <c r="C7" s="471">
        <v>2.0616377720956897E-2</v>
      </c>
      <c r="E7" s="472">
        <v>6</v>
      </c>
      <c r="F7" s="473"/>
      <c r="G7" s="474">
        <v>9</v>
      </c>
      <c r="I7" s="570" t="s">
        <v>89</v>
      </c>
      <c r="J7" s="504" t="s">
        <v>85</v>
      </c>
      <c r="K7" s="500">
        <v>0.5</v>
      </c>
      <c r="L7" s="500">
        <v>1</v>
      </c>
      <c r="M7" s="501">
        <v>1</v>
      </c>
      <c r="N7" s="501">
        <v>0</v>
      </c>
      <c r="O7" s="500">
        <v>0</v>
      </c>
      <c r="P7" s="501">
        <v>0</v>
      </c>
      <c r="Q7" s="571" t="s">
        <v>89</v>
      </c>
      <c r="R7" s="497" t="s">
        <v>85</v>
      </c>
      <c r="S7" s="505">
        <v>0.5</v>
      </c>
      <c r="T7" s="505">
        <v>0.5</v>
      </c>
      <c r="U7" s="505">
        <v>0</v>
      </c>
      <c r="V7" s="505">
        <v>0</v>
      </c>
      <c r="W7" s="505">
        <v>0</v>
      </c>
      <c r="X7" s="506">
        <v>0</v>
      </c>
    </row>
    <row r="8" spans="1:24">
      <c r="A8" s="470">
        <v>7</v>
      </c>
      <c r="B8" s="471">
        <f t="shared" ca="1" si="0"/>
        <v>3.4704509632583508E-2</v>
      </c>
      <c r="C8" s="471">
        <v>9.0046037929455112E-3</v>
      </c>
      <c r="E8" s="472">
        <v>7</v>
      </c>
      <c r="F8" s="473"/>
      <c r="G8" s="474">
        <v>5</v>
      </c>
      <c r="I8" s="571"/>
      <c r="J8" s="497" t="s">
        <v>86</v>
      </c>
      <c r="K8" s="500">
        <v>1</v>
      </c>
      <c r="L8" s="500">
        <v>2</v>
      </c>
      <c r="M8" s="501">
        <v>2</v>
      </c>
      <c r="N8" s="501">
        <v>0</v>
      </c>
      <c r="O8" s="500">
        <v>0</v>
      </c>
      <c r="P8" s="501">
        <v>0</v>
      </c>
      <c r="Q8" s="571"/>
      <c r="R8" s="497" t="s">
        <v>86</v>
      </c>
      <c r="S8" s="507">
        <v>1</v>
      </c>
      <c r="T8" s="507">
        <v>1</v>
      </c>
      <c r="U8" s="507">
        <v>0</v>
      </c>
      <c r="V8" s="507">
        <v>0</v>
      </c>
      <c r="W8" s="507">
        <v>0</v>
      </c>
      <c r="X8" s="508">
        <v>0</v>
      </c>
    </row>
    <row r="9" spans="1:24">
      <c r="A9" s="470">
        <v>8</v>
      </c>
      <c r="B9" s="471">
        <f t="shared" ca="1" si="0"/>
        <v>3.5938029945417796E-2</v>
      </c>
      <c r="C9" s="471">
        <v>6.4834290451706526E-3</v>
      </c>
      <c r="E9" s="475">
        <v>8</v>
      </c>
      <c r="F9" s="476">
        <v>5</v>
      </c>
      <c r="G9" s="474"/>
      <c r="I9" s="571"/>
      <c r="J9" s="497" t="s">
        <v>93</v>
      </c>
      <c r="K9" s="502">
        <v>2</v>
      </c>
      <c r="L9" s="502">
        <v>4</v>
      </c>
      <c r="M9" s="503">
        <v>4</v>
      </c>
      <c r="N9" s="503">
        <v>0</v>
      </c>
      <c r="O9" s="502">
        <v>0</v>
      </c>
      <c r="P9" s="503">
        <v>0</v>
      </c>
      <c r="Q9" s="571"/>
      <c r="R9" s="497" t="s">
        <v>93</v>
      </c>
      <c r="S9" s="509">
        <v>2</v>
      </c>
      <c r="T9" s="509">
        <v>2</v>
      </c>
      <c r="U9" s="509">
        <v>0</v>
      </c>
      <c r="V9" s="509">
        <v>0</v>
      </c>
      <c r="W9" s="509">
        <v>0</v>
      </c>
      <c r="X9" s="510">
        <v>0</v>
      </c>
    </row>
    <row r="10" spans="1:24">
      <c r="A10" s="470">
        <v>9</v>
      </c>
      <c r="B10" s="471">
        <f t="shared" ca="1" si="0"/>
        <v>1.3178890251300394E-2</v>
      </c>
      <c r="C10" s="471">
        <v>2.1344555360263619E-2</v>
      </c>
      <c r="E10" s="477">
        <v>9</v>
      </c>
      <c r="F10" s="469">
        <v>3</v>
      </c>
      <c r="G10" s="474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</row>
    <row r="11" spans="1:24">
      <c r="A11" s="470">
        <v>10</v>
      </c>
      <c r="B11" s="471">
        <f t="shared" ca="1" si="0"/>
        <v>3.618605324487028E-2</v>
      </c>
      <c r="C11" s="471">
        <v>2.6316645299793604E-4</v>
      </c>
      <c r="E11" s="478">
        <v>10</v>
      </c>
      <c r="F11" s="473"/>
      <c r="G11" s="474">
        <v>3</v>
      </c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</row>
    <row r="12" spans="1:24">
      <c r="A12" s="470">
        <v>11</v>
      </c>
      <c r="B12" s="471">
        <f t="shared" ca="1" si="0"/>
        <v>2.4814326858140036E-2</v>
      </c>
      <c r="C12" s="471">
        <v>1.5575208174666707E-2</v>
      </c>
      <c r="E12" s="478">
        <v>11</v>
      </c>
      <c r="F12" s="473"/>
      <c r="G12" s="474"/>
      <c r="I12" s="572" t="s">
        <v>90</v>
      </c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4"/>
    </row>
    <row r="13" spans="1:24">
      <c r="A13" s="470">
        <v>12</v>
      </c>
      <c r="B13" s="471">
        <f t="shared" ca="1" si="0"/>
        <v>3.4725511070216847E-2</v>
      </c>
      <c r="C13" s="471">
        <v>1.3015241542061152E-3</v>
      </c>
      <c r="E13" s="478">
        <v>12</v>
      </c>
      <c r="F13" s="473"/>
      <c r="G13" s="474">
        <v>13</v>
      </c>
      <c r="I13" s="513"/>
      <c r="J13" s="501"/>
      <c r="K13" s="514" t="s">
        <v>77</v>
      </c>
      <c r="L13" s="514" t="s">
        <v>78</v>
      </c>
      <c r="M13" s="514" t="s">
        <v>12</v>
      </c>
      <c r="N13" s="514" t="s">
        <v>11</v>
      </c>
      <c r="O13" s="515" t="s">
        <v>79</v>
      </c>
      <c r="P13" s="516" t="s">
        <v>80</v>
      </c>
      <c r="Q13" s="580"/>
      <c r="R13" s="581"/>
      <c r="S13" s="514" t="s">
        <v>77</v>
      </c>
      <c r="T13" s="514" t="s">
        <v>78</v>
      </c>
      <c r="U13" s="514" t="s">
        <v>12</v>
      </c>
      <c r="V13" s="514" t="s">
        <v>11</v>
      </c>
      <c r="W13" s="515" t="s">
        <v>79</v>
      </c>
      <c r="X13" s="516" t="s">
        <v>80</v>
      </c>
    </row>
    <row r="14" spans="1:24">
      <c r="A14" s="470">
        <v>13</v>
      </c>
      <c r="B14" s="471">
        <f t="shared" ca="1" si="0"/>
        <v>1.97086073325781E-2</v>
      </c>
      <c r="C14" s="471">
        <v>3.5072283067838612E-2</v>
      </c>
      <c r="E14" s="477">
        <v>13</v>
      </c>
      <c r="F14" s="469"/>
      <c r="G14" s="474"/>
      <c r="I14" s="582" t="s">
        <v>88</v>
      </c>
      <c r="J14" s="497" t="s">
        <v>81</v>
      </c>
      <c r="K14" s="498">
        <v>5</v>
      </c>
      <c r="L14" s="498">
        <v>7.5</v>
      </c>
      <c r="M14" s="498">
        <v>10</v>
      </c>
      <c r="N14" s="498">
        <v>15</v>
      </c>
      <c r="O14" s="498">
        <v>25</v>
      </c>
      <c r="P14" s="499">
        <v>30</v>
      </c>
      <c r="Q14" s="582" t="s">
        <v>88</v>
      </c>
      <c r="R14" s="497" t="s">
        <v>81</v>
      </c>
      <c r="S14" s="498">
        <v>5</v>
      </c>
      <c r="T14" s="498">
        <v>2.5</v>
      </c>
      <c r="U14" s="498">
        <v>2.5</v>
      </c>
      <c r="V14" s="498">
        <v>5</v>
      </c>
      <c r="W14" s="498">
        <v>10</v>
      </c>
      <c r="X14" s="499">
        <v>5</v>
      </c>
    </row>
    <row r="15" spans="1:24">
      <c r="A15" s="470">
        <v>14</v>
      </c>
      <c r="B15" s="471">
        <f t="shared" ca="1" si="0"/>
        <v>3.0497429803435575E-2</v>
      </c>
      <c r="C15" s="471">
        <v>2.7931870506339641E-2</v>
      </c>
      <c r="E15" s="478">
        <v>14</v>
      </c>
      <c r="F15" s="473"/>
      <c r="G15" s="474">
        <v>11</v>
      </c>
      <c r="I15" s="583"/>
      <c r="J15" s="497" t="s">
        <v>82</v>
      </c>
      <c r="K15" s="500">
        <v>10</v>
      </c>
      <c r="L15" s="500">
        <v>15</v>
      </c>
      <c r="M15" s="500">
        <v>20</v>
      </c>
      <c r="N15" s="500">
        <v>30</v>
      </c>
      <c r="O15" s="500">
        <v>50</v>
      </c>
      <c r="P15" s="501">
        <v>60</v>
      </c>
      <c r="Q15" s="583"/>
      <c r="R15" s="497" t="s">
        <v>82</v>
      </c>
      <c r="S15" s="500">
        <v>10</v>
      </c>
      <c r="T15" s="500">
        <v>5</v>
      </c>
      <c r="U15" s="500">
        <v>5</v>
      </c>
      <c r="V15" s="500">
        <v>10</v>
      </c>
      <c r="W15" s="500">
        <v>20</v>
      </c>
      <c r="X15" s="501">
        <v>10</v>
      </c>
    </row>
    <row r="16" spans="1:24">
      <c r="A16" s="470">
        <v>15</v>
      </c>
      <c r="B16" s="471">
        <f t="shared" ca="1" si="0"/>
        <v>3.4326561437289571E-2</v>
      </c>
      <c r="C16" s="471">
        <v>2.8524493830771148E-2</v>
      </c>
      <c r="E16" s="478">
        <v>15</v>
      </c>
      <c r="F16" s="473"/>
      <c r="G16" s="474">
        <v>7</v>
      </c>
      <c r="I16" s="583"/>
      <c r="J16" s="497" t="s">
        <v>83</v>
      </c>
      <c r="K16" s="500">
        <v>20</v>
      </c>
      <c r="L16" s="500">
        <v>30</v>
      </c>
      <c r="M16" s="500">
        <v>40</v>
      </c>
      <c r="N16" s="500">
        <v>60</v>
      </c>
      <c r="O16" s="500">
        <v>100</v>
      </c>
      <c r="P16" s="501">
        <v>120</v>
      </c>
      <c r="Q16" s="583"/>
      <c r="R16" s="497" t="s">
        <v>83</v>
      </c>
      <c r="S16" s="500">
        <v>20</v>
      </c>
      <c r="T16" s="500">
        <v>10</v>
      </c>
      <c r="U16" s="500">
        <v>10</v>
      </c>
      <c r="V16" s="500">
        <v>20</v>
      </c>
      <c r="W16" s="500">
        <v>40</v>
      </c>
      <c r="X16" s="501">
        <v>20</v>
      </c>
    </row>
    <row r="17" spans="1:24">
      <c r="A17" s="470">
        <v>16</v>
      </c>
      <c r="B17" s="471">
        <f t="shared" ca="1" si="0"/>
        <v>5.5166430980113914E-3</v>
      </c>
      <c r="C17" s="471">
        <v>3.3194632312791121E-2</v>
      </c>
      <c r="E17" s="481">
        <v>16</v>
      </c>
      <c r="F17" s="476">
        <v>6</v>
      </c>
      <c r="G17" s="474"/>
      <c r="I17" s="570"/>
      <c r="J17" s="497" t="s">
        <v>84</v>
      </c>
      <c r="K17" s="502">
        <v>25</v>
      </c>
      <c r="L17" s="502">
        <v>37.5</v>
      </c>
      <c r="M17" s="502">
        <v>50</v>
      </c>
      <c r="N17" s="502">
        <v>75</v>
      </c>
      <c r="O17" s="502">
        <v>125</v>
      </c>
      <c r="P17" s="503">
        <v>150</v>
      </c>
      <c r="Q17" s="570"/>
      <c r="R17" s="497" t="s">
        <v>84</v>
      </c>
      <c r="S17" s="502">
        <v>25</v>
      </c>
      <c r="T17" s="502">
        <v>12.5</v>
      </c>
      <c r="U17" s="502">
        <v>12.5</v>
      </c>
      <c r="V17" s="502">
        <v>25</v>
      </c>
      <c r="W17" s="502">
        <v>50</v>
      </c>
      <c r="X17" s="503">
        <v>25</v>
      </c>
    </row>
    <row r="18" spans="1:24">
      <c r="A18" s="470">
        <v>17</v>
      </c>
      <c r="B18" s="471">
        <f t="shared" ca="1" si="0"/>
        <v>3.024060853087903E-2</v>
      </c>
      <c r="C18" s="471">
        <v>1.0901185556048106E-2</v>
      </c>
      <c r="E18" s="468">
        <v>17</v>
      </c>
      <c r="F18" s="469">
        <v>7</v>
      </c>
      <c r="G18" s="474"/>
      <c r="I18" s="571" t="s">
        <v>89</v>
      </c>
      <c r="J18" s="497" t="s">
        <v>85</v>
      </c>
      <c r="K18" s="498">
        <v>2.5</v>
      </c>
      <c r="L18" s="498">
        <v>4</v>
      </c>
      <c r="M18" s="498">
        <v>5</v>
      </c>
      <c r="N18" s="498">
        <v>7.5</v>
      </c>
      <c r="O18" s="498">
        <v>12.5</v>
      </c>
      <c r="P18" s="499">
        <v>15</v>
      </c>
      <c r="Q18" s="571" t="s">
        <v>89</v>
      </c>
      <c r="R18" s="497" t="s">
        <v>85</v>
      </c>
      <c r="S18" s="505">
        <v>2.5</v>
      </c>
      <c r="T18" s="505">
        <v>1.5</v>
      </c>
      <c r="U18" s="505">
        <v>1</v>
      </c>
      <c r="V18" s="505">
        <v>2.5</v>
      </c>
      <c r="W18" s="505">
        <v>5</v>
      </c>
      <c r="X18" s="506">
        <v>2.5</v>
      </c>
    </row>
    <row r="19" spans="1:24">
      <c r="A19" s="470">
        <v>18</v>
      </c>
      <c r="B19" s="471">
        <f t="shared" ca="1" si="0"/>
        <v>2.9950978004976578E-2</v>
      </c>
      <c r="C19" s="471">
        <v>1.9606781819468109E-3</v>
      </c>
      <c r="E19" s="472">
        <v>18</v>
      </c>
      <c r="F19" s="473"/>
      <c r="G19" s="474">
        <v>6</v>
      </c>
      <c r="I19" s="571"/>
      <c r="J19" s="497" t="s">
        <v>86</v>
      </c>
      <c r="K19" s="500">
        <v>5</v>
      </c>
      <c r="L19" s="500">
        <v>8</v>
      </c>
      <c r="M19" s="500">
        <v>10</v>
      </c>
      <c r="N19" s="500">
        <v>15</v>
      </c>
      <c r="O19" s="500">
        <v>25</v>
      </c>
      <c r="P19" s="501">
        <v>30</v>
      </c>
      <c r="Q19" s="571"/>
      <c r="R19" s="497" t="s">
        <v>86</v>
      </c>
      <c r="S19" s="507">
        <v>5</v>
      </c>
      <c r="T19" s="507">
        <v>3</v>
      </c>
      <c r="U19" s="507">
        <v>2</v>
      </c>
      <c r="V19" s="507">
        <v>5</v>
      </c>
      <c r="W19" s="507">
        <v>10</v>
      </c>
      <c r="X19" s="508">
        <v>5</v>
      </c>
    </row>
    <row r="20" spans="1:24">
      <c r="A20" s="470">
        <v>19</v>
      </c>
      <c r="B20" s="471">
        <f t="shared" ca="1" si="0"/>
        <v>4.1298110308598621E-3</v>
      </c>
      <c r="C20" s="471">
        <v>1.9882939742782321E-2</v>
      </c>
      <c r="E20" s="472">
        <v>19</v>
      </c>
      <c r="F20" s="473"/>
      <c r="G20" s="474"/>
      <c r="I20" s="571"/>
      <c r="J20" s="497" t="s">
        <v>93</v>
      </c>
      <c r="K20" s="502">
        <v>10</v>
      </c>
      <c r="L20" s="502">
        <v>16</v>
      </c>
      <c r="M20" s="502">
        <v>20</v>
      </c>
      <c r="N20" s="502">
        <v>30</v>
      </c>
      <c r="O20" s="502">
        <v>50</v>
      </c>
      <c r="P20" s="503">
        <v>60</v>
      </c>
      <c r="Q20" s="571"/>
      <c r="R20" s="497" t="s">
        <v>93</v>
      </c>
      <c r="S20" s="509">
        <v>10</v>
      </c>
      <c r="T20" s="509">
        <v>6</v>
      </c>
      <c r="U20" s="509">
        <v>4</v>
      </c>
      <c r="V20" s="509">
        <v>10</v>
      </c>
      <c r="W20" s="509">
        <v>20</v>
      </c>
      <c r="X20" s="510">
        <v>10</v>
      </c>
    </row>
    <row r="21" spans="1:24">
      <c r="A21" s="470">
        <v>20</v>
      </c>
      <c r="B21" s="471">
        <f t="shared" ca="1" si="0"/>
        <v>4.258831268320762E-4</v>
      </c>
      <c r="C21" s="471">
        <v>1.9070076936678441E-2</v>
      </c>
      <c r="E21" s="475">
        <v>20</v>
      </c>
      <c r="F21" s="476"/>
      <c r="G21" s="474">
        <v>12</v>
      </c>
      <c r="I21" s="570" t="s">
        <v>91</v>
      </c>
      <c r="J21" s="504" t="s">
        <v>94</v>
      </c>
      <c r="K21" s="500">
        <v>1</v>
      </c>
      <c r="L21" s="500">
        <v>1.5</v>
      </c>
      <c r="M21" s="500">
        <v>2</v>
      </c>
      <c r="N21" s="500">
        <v>3</v>
      </c>
      <c r="O21" s="500">
        <v>5</v>
      </c>
      <c r="P21" s="501">
        <v>6</v>
      </c>
      <c r="Q21" s="570" t="s">
        <v>91</v>
      </c>
      <c r="R21" s="504" t="s">
        <v>94</v>
      </c>
      <c r="S21" s="500">
        <v>1</v>
      </c>
      <c r="T21" s="500">
        <v>0.5</v>
      </c>
      <c r="U21" s="500">
        <v>0.5</v>
      </c>
      <c r="V21" s="500">
        <v>1</v>
      </c>
      <c r="W21" s="500">
        <v>2</v>
      </c>
      <c r="X21" s="501">
        <v>1</v>
      </c>
    </row>
    <row r="22" spans="1:24">
      <c r="A22" s="470">
        <v>21</v>
      </c>
      <c r="B22" s="471">
        <f t="shared" ca="1" si="0"/>
        <v>2.0112133066367582E-2</v>
      </c>
      <c r="C22" s="471">
        <v>2.829121703296238E-2</v>
      </c>
      <c r="E22" s="472">
        <v>21</v>
      </c>
      <c r="F22" s="473"/>
      <c r="G22" s="474"/>
      <c r="I22" s="571"/>
      <c r="J22" s="497" t="s">
        <v>95</v>
      </c>
      <c r="K22" s="500">
        <v>2</v>
      </c>
      <c r="L22" s="500">
        <v>3</v>
      </c>
      <c r="M22" s="500">
        <v>4</v>
      </c>
      <c r="N22" s="500">
        <v>6</v>
      </c>
      <c r="O22" s="500">
        <v>10</v>
      </c>
      <c r="P22" s="501">
        <v>12</v>
      </c>
      <c r="Q22" s="571"/>
      <c r="R22" s="497" t="s">
        <v>95</v>
      </c>
      <c r="S22" s="500">
        <v>2</v>
      </c>
      <c r="T22" s="500">
        <v>1</v>
      </c>
      <c r="U22" s="500">
        <v>1</v>
      </c>
      <c r="V22" s="500">
        <v>2</v>
      </c>
      <c r="W22" s="500">
        <v>4</v>
      </c>
      <c r="X22" s="501">
        <v>2</v>
      </c>
    </row>
    <row r="23" spans="1:24">
      <c r="A23" s="470">
        <v>22</v>
      </c>
      <c r="B23" s="471">
        <f t="shared" ca="1" si="0"/>
        <v>3.3925815825395139E-2</v>
      </c>
      <c r="C23" s="471">
        <v>2.5438230353575869E-2</v>
      </c>
      <c r="E23" s="472">
        <v>22</v>
      </c>
      <c r="F23" s="473"/>
      <c r="G23" s="474">
        <v>14</v>
      </c>
      <c r="I23" s="571"/>
      <c r="J23" s="497" t="s">
        <v>96</v>
      </c>
      <c r="K23" s="502">
        <v>4</v>
      </c>
      <c r="L23" s="502">
        <v>6</v>
      </c>
      <c r="M23" s="502">
        <v>8</v>
      </c>
      <c r="N23" s="502">
        <v>12</v>
      </c>
      <c r="O23" s="502">
        <v>20</v>
      </c>
      <c r="P23" s="503">
        <v>24</v>
      </c>
      <c r="Q23" s="571"/>
      <c r="R23" s="497" t="s">
        <v>96</v>
      </c>
      <c r="S23" s="502">
        <v>4</v>
      </c>
      <c r="T23" s="502">
        <v>2</v>
      </c>
      <c r="U23" s="502">
        <v>2</v>
      </c>
      <c r="V23" s="502">
        <v>4</v>
      </c>
      <c r="W23" s="502">
        <v>8</v>
      </c>
      <c r="X23" s="503">
        <v>4</v>
      </c>
    </row>
    <row r="24" spans="1:24">
      <c r="A24" s="470">
        <v>23</v>
      </c>
      <c r="B24" s="471">
        <f t="shared" ca="1" si="0"/>
        <v>2.3178717114508078E-2</v>
      </c>
      <c r="C24" s="471">
        <v>1.4995442471880631E-2</v>
      </c>
      <c r="E24" s="472">
        <v>23</v>
      </c>
      <c r="F24" s="473"/>
      <c r="G24" s="474">
        <v>4</v>
      </c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</row>
    <row r="25" spans="1:24">
      <c r="A25" s="470">
        <v>24</v>
      </c>
      <c r="B25" s="471">
        <f t="shared" ca="1" si="0"/>
        <v>2.1535127691173335E-2</v>
      </c>
      <c r="C25" s="471">
        <v>1.9219713426089288E-2</v>
      </c>
      <c r="E25" s="475">
        <v>24</v>
      </c>
      <c r="F25" s="476">
        <v>4</v>
      </c>
      <c r="G25" s="474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</row>
    <row r="26" spans="1:24" ht="12" customHeight="1">
      <c r="A26" s="470">
        <v>25</v>
      </c>
      <c r="B26" s="471">
        <f t="shared" ca="1" si="0"/>
        <v>3.5778530867428632E-2</v>
      </c>
      <c r="C26" s="471">
        <v>3.6040220226136253E-2</v>
      </c>
      <c r="E26" s="482">
        <v>25</v>
      </c>
      <c r="F26" s="469">
        <v>8</v>
      </c>
      <c r="G26" s="474"/>
      <c r="I26" s="512"/>
      <c r="J26" s="572" t="s">
        <v>92</v>
      </c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4"/>
      <c r="X26" s="517"/>
    </row>
    <row r="27" spans="1:24">
      <c r="A27" s="470">
        <v>26</v>
      </c>
      <c r="B27" s="471">
        <f t="shared" ca="1" si="0"/>
        <v>3.3439538058328076E-2</v>
      </c>
      <c r="C27" s="471">
        <v>1.2810475907970256E-2</v>
      </c>
      <c r="E27" s="480">
        <v>26</v>
      </c>
      <c r="F27" s="473"/>
      <c r="G27" s="474">
        <v>8</v>
      </c>
      <c r="I27" s="512"/>
      <c r="J27" s="575"/>
      <c r="K27" s="576"/>
      <c r="L27" s="490" t="s">
        <v>78</v>
      </c>
      <c r="M27" s="490" t="s">
        <v>12</v>
      </c>
      <c r="N27" s="490" t="s">
        <v>11</v>
      </c>
      <c r="O27" s="492" t="s">
        <v>79</v>
      </c>
      <c r="P27" s="493" t="s">
        <v>80</v>
      </c>
      <c r="Q27" s="575"/>
      <c r="R27" s="576"/>
      <c r="S27" s="490" t="s">
        <v>78</v>
      </c>
      <c r="T27" s="490" t="s">
        <v>12</v>
      </c>
      <c r="U27" s="490" t="s">
        <v>11</v>
      </c>
      <c r="V27" s="492" t="s">
        <v>79</v>
      </c>
      <c r="W27" s="493" t="s">
        <v>80</v>
      </c>
      <c r="X27" s="513"/>
    </row>
    <row r="28" spans="1:24" ht="12" customHeight="1">
      <c r="A28" s="470">
        <v>27</v>
      </c>
      <c r="B28" s="471">
        <f t="shared" ca="1" si="0"/>
        <v>2.7350502012443555E-2</v>
      </c>
      <c r="C28" s="471">
        <v>4.275948870629165E-4</v>
      </c>
      <c r="E28" s="480">
        <v>27</v>
      </c>
      <c r="F28" s="473"/>
      <c r="G28" s="474"/>
      <c r="I28" s="512"/>
      <c r="J28" s="577" t="s">
        <v>88</v>
      </c>
      <c r="K28" s="497" t="s">
        <v>81</v>
      </c>
      <c r="L28" s="518">
        <v>2</v>
      </c>
      <c r="M28" s="519">
        <v>2.5</v>
      </c>
      <c r="N28" s="519">
        <v>4</v>
      </c>
      <c r="O28" s="519">
        <v>6.5</v>
      </c>
      <c r="P28" s="520">
        <v>7.5</v>
      </c>
      <c r="Q28" s="577" t="s">
        <v>88</v>
      </c>
      <c r="R28" s="497" t="s">
        <v>81</v>
      </c>
      <c r="S28" s="518">
        <v>2</v>
      </c>
      <c r="T28" s="519">
        <v>0.5</v>
      </c>
      <c r="U28" s="519">
        <v>1.5</v>
      </c>
      <c r="V28" s="519">
        <v>2.5</v>
      </c>
      <c r="W28" s="520">
        <v>1</v>
      </c>
      <c r="X28" s="512"/>
    </row>
    <row r="29" spans="1:24">
      <c r="A29" s="470">
        <v>28</v>
      </c>
      <c r="B29" s="471">
        <f t="shared" ca="1" si="0"/>
        <v>2.1603689217654862E-2</v>
      </c>
      <c r="C29" s="471">
        <v>1.1277412713896684E-2</v>
      </c>
      <c r="E29" s="483">
        <v>28</v>
      </c>
      <c r="F29" s="476"/>
      <c r="G29" s="474">
        <v>10</v>
      </c>
      <c r="I29" s="512"/>
      <c r="J29" s="578"/>
      <c r="K29" s="497" t="s">
        <v>82</v>
      </c>
      <c r="L29" s="521">
        <v>4</v>
      </c>
      <c r="M29" s="522">
        <v>5</v>
      </c>
      <c r="N29" s="522">
        <v>8</v>
      </c>
      <c r="O29" s="522">
        <v>13</v>
      </c>
      <c r="P29" s="523">
        <v>15</v>
      </c>
      <c r="Q29" s="578"/>
      <c r="R29" s="497" t="s">
        <v>82</v>
      </c>
      <c r="S29" s="521">
        <v>4</v>
      </c>
      <c r="T29" s="522">
        <v>1</v>
      </c>
      <c r="U29" s="522">
        <v>3</v>
      </c>
      <c r="V29" s="522">
        <v>5</v>
      </c>
      <c r="W29" s="523">
        <v>2</v>
      </c>
      <c r="X29" s="512"/>
    </row>
    <row r="30" spans="1:24">
      <c r="A30" s="470">
        <v>29</v>
      </c>
      <c r="B30" s="471">
        <f t="shared" ca="1" si="0"/>
        <v>6.79899941856446E-3</v>
      </c>
      <c r="C30" s="471">
        <v>3.8346559760677988E-2</v>
      </c>
      <c r="E30" s="482">
        <v>29</v>
      </c>
      <c r="F30" s="469"/>
      <c r="G30" s="474"/>
      <c r="I30" s="512"/>
      <c r="J30" s="578"/>
      <c r="K30" s="497" t="s">
        <v>83</v>
      </c>
      <c r="L30" s="521">
        <v>8</v>
      </c>
      <c r="M30" s="522">
        <v>10</v>
      </c>
      <c r="N30" s="522">
        <v>16</v>
      </c>
      <c r="O30" s="522">
        <v>26</v>
      </c>
      <c r="P30" s="523">
        <v>30</v>
      </c>
      <c r="Q30" s="578"/>
      <c r="R30" s="497" t="s">
        <v>83</v>
      </c>
      <c r="S30" s="521">
        <v>8</v>
      </c>
      <c r="T30" s="522">
        <v>2</v>
      </c>
      <c r="U30" s="522">
        <v>6</v>
      </c>
      <c r="V30" s="522">
        <v>10</v>
      </c>
      <c r="W30" s="523">
        <v>4</v>
      </c>
      <c r="X30" s="512"/>
    </row>
    <row r="31" spans="1:24">
      <c r="A31" s="470">
        <v>30</v>
      </c>
      <c r="B31" s="471">
        <f t="shared" ca="1" si="0"/>
        <v>1.7584363991884136E-2</v>
      </c>
      <c r="C31" s="471">
        <v>7.0879977876877479E-3</v>
      </c>
      <c r="E31" s="480">
        <v>30</v>
      </c>
      <c r="F31" s="473"/>
      <c r="G31" s="474">
        <v>16</v>
      </c>
      <c r="I31" s="512"/>
      <c r="J31" s="579"/>
      <c r="K31" s="524" t="s">
        <v>84</v>
      </c>
      <c r="L31" s="525">
        <v>10</v>
      </c>
      <c r="M31" s="526">
        <v>12.5</v>
      </c>
      <c r="N31" s="526">
        <v>20</v>
      </c>
      <c r="O31" s="526">
        <v>32.5</v>
      </c>
      <c r="P31" s="527">
        <v>37.5</v>
      </c>
      <c r="Q31" s="579"/>
      <c r="R31" s="524" t="s">
        <v>84</v>
      </c>
      <c r="S31" s="525">
        <v>10</v>
      </c>
      <c r="T31" s="526">
        <v>2.5</v>
      </c>
      <c r="U31" s="526">
        <v>7.5</v>
      </c>
      <c r="V31" s="526">
        <v>13</v>
      </c>
      <c r="W31" s="527">
        <v>4.5</v>
      </c>
      <c r="X31" s="512"/>
    </row>
    <row r="32" spans="1:24">
      <c r="A32" s="470">
        <v>31</v>
      </c>
      <c r="B32" s="471">
        <f t="shared" ca="1" si="0"/>
        <v>2.5630844807856155E-3</v>
      </c>
      <c r="C32" s="471">
        <v>3.1664758564799167E-2</v>
      </c>
      <c r="E32" s="480">
        <v>31</v>
      </c>
      <c r="F32" s="484"/>
      <c r="G32" s="474">
        <v>2</v>
      </c>
      <c r="I32" s="512"/>
      <c r="J32" s="568" t="s">
        <v>89</v>
      </c>
      <c r="K32" s="528" t="s">
        <v>85</v>
      </c>
      <c r="L32" s="521">
        <v>1</v>
      </c>
      <c r="M32" s="522">
        <v>1.5</v>
      </c>
      <c r="N32" s="522">
        <v>2</v>
      </c>
      <c r="O32" s="522">
        <v>3</v>
      </c>
      <c r="P32" s="523">
        <v>4</v>
      </c>
      <c r="Q32" s="568" t="s">
        <v>89</v>
      </c>
      <c r="R32" s="528" t="s">
        <v>85</v>
      </c>
      <c r="S32" s="529">
        <v>1</v>
      </c>
      <c r="T32" s="530">
        <v>0.5</v>
      </c>
      <c r="U32" s="530">
        <v>0.5</v>
      </c>
      <c r="V32" s="530">
        <v>1</v>
      </c>
      <c r="W32" s="508">
        <v>1</v>
      </c>
      <c r="X32" s="512"/>
    </row>
    <row r="33" spans="1:24">
      <c r="A33" s="485">
        <v>32</v>
      </c>
      <c r="B33" s="486">
        <f t="shared" ca="1" si="0"/>
        <v>3.8418579891147948E-2</v>
      </c>
      <c r="C33" s="486">
        <v>3.1532151258182137E-2</v>
      </c>
      <c r="E33" s="481">
        <v>32</v>
      </c>
      <c r="F33" s="476">
        <v>2</v>
      </c>
      <c r="G33" s="474"/>
      <c r="I33" s="512"/>
      <c r="J33" s="568"/>
      <c r="K33" s="524" t="s">
        <v>86</v>
      </c>
      <c r="L33" s="521">
        <v>2</v>
      </c>
      <c r="M33" s="522">
        <v>3</v>
      </c>
      <c r="N33" s="522">
        <v>4</v>
      </c>
      <c r="O33" s="522">
        <v>6</v>
      </c>
      <c r="P33" s="523">
        <v>8</v>
      </c>
      <c r="Q33" s="568"/>
      <c r="R33" s="524" t="s">
        <v>86</v>
      </c>
      <c r="S33" s="529">
        <v>2</v>
      </c>
      <c r="T33" s="530">
        <v>1</v>
      </c>
      <c r="U33" s="530">
        <v>1</v>
      </c>
      <c r="V33" s="530">
        <v>2</v>
      </c>
      <c r="W33" s="508">
        <v>2</v>
      </c>
      <c r="X33" s="512"/>
    </row>
    <row r="34" spans="1:24">
      <c r="I34" s="512"/>
      <c r="J34" s="569"/>
      <c r="K34" s="524" t="s">
        <v>93</v>
      </c>
      <c r="L34" s="525">
        <v>4</v>
      </c>
      <c r="M34" s="526">
        <v>6</v>
      </c>
      <c r="N34" s="526">
        <v>8</v>
      </c>
      <c r="O34" s="526">
        <v>12</v>
      </c>
      <c r="P34" s="527">
        <v>16</v>
      </c>
      <c r="Q34" s="569"/>
      <c r="R34" s="524" t="s">
        <v>93</v>
      </c>
      <c r="S34" s="531">
        <v>4</v>
      </c>
      <c r="T34" s="532">
        <v>2</v>
      </c>
      <c r="U34" s="532">
        <v>2</v>
      </c>
      <c r="V34" s="532">
        <v>4</v>
      </c>
      <c r="W34" s="510">
        <v>4</v>
      </c>
      <c r="X34" s="512"/>
    </row>
  </sheetData>
  <sheetProtection formatCells="0" formatColumns="0" formatRows="0"/>
  <mergeCells count="21">
    <mergeCell ref="I1:X1"/>
    <mergeCell ref="Q2:R2"/>
    <mergeCell ref="I3:I6"/>
    <mergeCell ref="Q3:Q6"/>
    <mergeCell ref="I7:I9"/>
    <mergeCell ref="Q7:Q9"/>
    <mergeCell ref="I12:X12"/>
    <mergeCell ref="Q13:R13"/>
    <mergeCell ref="I14:I17"/>
    <mergeCell ref="Q14:Q17"/>
    <mergeCell ref="I18:I20"/>
    <mergeCell ref="Q18:Q20"/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D19" sqref="D19"/>
    </sheetView>
  </sheetViews>
  <sheetFormatPr defaultColWidth="8.71093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277" bestFit="1" customWidth="1"/>
    <col min="7" max="7" width="14.7109375" style="29" customWidth="1"/>
    <col min="8" max="8" width="10.28515625" style="28" bestFit="1" customWidth="1"/>
    <col min="9" max="9" width="6.85546875" style="210" hidden="1" customWidth="1"/>
    <col min="10" max="10" width="7.28515625" style="210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71093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71093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71093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71093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71093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71093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71093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71093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71093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71093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71093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71093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71093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71093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71093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7109375" style="28"/>
  </cols>
  <sheetData>
    <row r="1" spans="1:15" ht="21" customHeight="1">
      <c r="A1" s="554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5"/>
      <c r="C1" s="555"/>
      <c r="D1" s="555"/>
      <c r="E1" s="555"/>
      <c r="F1" s="555"/>
      <c r="G1" s="555"/>
      <c r="H1" s="274" t="str">
        <f>Setup!$B$7</f>
        <v>Κ14</v>
      </c>
    </row>
    <row r="2" spans="1:15" s="29" customFormat="1">
      <c r="A2" s="34" t="s">
        <v>9</v>
      </c>
      <c r="B2" s="34" t="s">
        <v>22</v>
      </c>
      <c r="C2" s="34" t="s">
        <v>73</v>
      </c>
      <c r="D2" s="34" t="s">
        <v>6</v>
      </c>
      <c r="E2" s="34" t="s">
        <v>8</v>
      </c>
      <c r="F2" s="275" t="s">
        <v>70</v>
      </c>
      <c r="G2" s="34" t="s">
        <v>72</v>
      </c>
      <c r="H2" s="38" t="s">
        <v>50</v>
      </c>
      <c r="I2" s="211" t="s">
        <v>59</v>
      </c>
      <c r="J2" s="211" t="s">
        <v>100</v>
      </c>
    </row>
    <row r="3" spans="1:15">
      <c r="A3" s="35">
        <v>1</v>
      </c>
      <c r="B3" s="25"/>
      <c r="C3" s="25"/>
      <c r="D3" s="26"/>
      <c r="E3" s="26"/>
      <c r="F3" s="321"/>
      <c r="G3" s="25"/>
      <c r="H3" s="27"/>
      <c r="I3" s="210">
        <f t="shared" ref="I3:I34" si="0">IF(C3="",0,F3+J3)</f>
        <v>0</v>
      </c>
      <c r="J3" s="210">
        <v>1.5772524634032104E-2</v>
      </c>
      <c r="O3" s="305"/>
    </row>
    <row r="4" spans="1:15">
      <c r="A4" s="35">
        <v>2</v>
      </c>
      <c r="B4" s="25"/>
      <c r="C4" s="25"/>
      <c r="D4" s="26"/>
      <c r="E4" s="26"/>
      <c r="F4" s="321"/>
      <c r="G4" s="25"/>
      <c r="H4" s="27"/>
      <c r="I4" s="210">
        <f t="shared" si="0"/>
        <v>0</v>
      </c>
      <c r="J4" s="210">
        <v>1.0205068941753553E-2</v>
      </c>
      <c r="O4" s="305"/>
    </row>
    <row r="5" spans="1:15">
      <c r="A5" s="35">
        <v>3</v>
      </c>
      <c r="B5" s="25"/>
      <c r="C5" s="25"/>
      <c r="D5" s="26"/>
      <c r="E5" s="26"/>
      <c r="F5" s="321"/>
      <c r="G5" s="25"/>
      <c r="H5" s="27"/>
      <c r="I5" s="210">
        <f t="shared" si="0"/>
        <v>0</v>
      </c>
      <c r="J5" s="210">
        <v>1.0883413208593767E-2</v>
      </c>
      <c r="O5" s="305"/>
    </row>
    <row r="6" spans="1:15">
      <c r="A6" s="35">
        <v>4</v>
      </c>
      <c r="B6" s="25"/>
      <c r="C6" s="25"/>
      <c r="D6" s="26"/>
      <c r="E6" s="26"/>
      <c r="F6" s="321"/>
      <c r="G6" s="25"/>
      <c r="H6" s="27"/>
      <c r="I6" s="210">
        <f t="shared" si="0"/>
        <v>0</v>
      </c>
      <c r="J6" s="210">
        <v>3.0833001484018886E-3</v>
      </c>
      <c r="O6" s="305"/>
    </row>
    <row r="7" spans="1:15">
      <c r="A7" s="35">
        <v>5</v>
      </c>
      <c r="B7" s="25"/>
      <c r="C7" s="25"/>
      <c r="D7" s="26"/>
      <c r="E7" s="26"/>
      <c r="F7" s="321"/>
      <c r="G7" s="25"/>
      <c r="H7" s="27"/>
      <c r="I7" s="210">
        <f t="shared" si="0"/>
        <v>0</v>
      </c>
      <c r="J7" s="210">
        <v>2.9370210174760988E-2</v>
      </c>
      <c r="O7" s="305"/>
    </row>
    <row r="8" spans="1:15">
      <c r="A8" s="35">
        <v>6</v>
      </c>
      <c r="B8" s="25"/>
      <c r="C8" s="25"/>
      <c r="D8" s="26"/>
      <c r="E8" s="26"/>
      <c r="F8" s="321"/>
      <c r="G8" s="25"/>
      <c r="H8" s="27"/>
      <c r="I8" s="210">
        <f t="shared" si="0"/>
        <v>0</v>
      </c>
      <c r="J8" s="210">
        <v>2.1890812163676953E-2</v>
      </c>
      <c r="O8" s="305"/>
    </row>
    <row r="9" spans="1:15">
      <c r="A9" s="35">
        <v>7</v>
      </c>
      <c r="B9" s="25"/>
      <c r="C9" s="25"/>
      <c r="D9" s="26"/>
      <c r="E9" s="26"/>
      <c r="F9" s="321"/>
      <c r="G9" s="25"/>
      <c r="H9" s="27"/>
      <c r="I9" s="210">
        <f t="shared" si="0"/>
        <v>0</v>
      </c>
      <c r="J9" s="210">
        <v>3.1456384875983789E-2</v>
      </c>
      <c r="O9" s="305"/>
    </row>
    <row r="10" spans="1:15">
      <c r="A10" s="35">
        <v>8</v>
      </c>
      <c r="B10" s="25"/>
      <c r="C10" s="25"/>
      <c r="D10" s="26"/>
      <c r="E10" s="26"/>
      <c r="F10" s="321"/>
      <c r="G10" s="25"/>
      <c r="H10" s="27"/>
      <c r="I10" s="210">
        <f t="shared" si="0"/>
        <v>0</v>
      </c>
      <c r="J10" s="210">
        <v>1.3180944981985299E-3</v>
      </c>
      <c r="O10" s="305"/>
    </row>
    <row r="11" spans="1:15">
      <c r="A11" s="35">
        <v>9</v>
      </c>
      <c r="B11" s="25"/>
      <c r="C11" s="25"/>
      <c r="D11" s="26"/>
      <c r="E11" s="26"/>
      <c r="F11" s="321"/>
      <c r="G11" s="25"/>
      <c r="H11" s="27"/>
      <c r="I11" s="210">
        <f t="shared" si="0"/>
        <v>0</v>
      </c>
      <c r="J11" s="210">
        <v>3.8587376644361092E-2</v>
      </c>
      <c r="O11" s="305"/>
    </row>
    <row r="12" spans="1:15">
      <c r="A12" s="35">
        <v>10</v>
      </c>
      <c r="B12" s="25"/>
      <c r="C12" s="25"/>
      <c r="D12" s="26"/>
      <c r="E12" s="26"/>
      <c r="F12" s="321"/>
      <c r="G12" s="25"/>
      <c r="H12" s="27"/>
      <c r="I12" s="210">
        <f t="shared" si="0"/>
        <v>0</v>
      </c>
      <c r="J12" s="210">
        <v>9.6409184645231957E-5</v>
      </c>
      <c r="O12" s="305"/>
    </row>
    <row r="13" spans="1:15">
      <c r="A13" s="35">
        <v>11</v>
      </c>
      <c r="B13" s="25"/>
      <c r="C13" s="25"/>
      <c r="D13" s="26"/>
      <c r="E13" s="26"/>
      <c r="F13" s="276"/>
      <c r="G13" s="25"/>
      <c r="H13" s="27"/>
      <c r="I13" s="210">
        <f t="shared" si="0"/>
        <v>0</v>
      </c>
      <c r="J13" s="210">
        <v>1.6887971953247947E-2</v>
      </c>
      <c r="O13" s="305"/>
    </row>
    <row r="14" spans="1:15">
      <c r="A14" s="35">
        <v>12</v>
      </c>
      <c r="B14" s="25"/>
      <c r="C14" s="25"/>
      <c r="D14" s="26"/>
      <c r="E14" s="26"/>
      <c r="F14" s="276"/>
      <c r="G14" s="25"/>
      <c r="H14" s="27"/>
      <c r="I14" s="210">
        <f t="shared" si="0"/>
        <v>0</v>
      </c>
      <c r="J14" s="210">
        <v>3.5774431298166045E-4</v>
      </c>
      <c r="O14" s="305"/>
    </row>
    <row r="15" spans="1:15">
      <c r="A15" s="35">
        <v>13</v>
      </c>
      <c r="B15" s="25"/>
      <c r="C15" s="25"/>
      <c r="D15" s="26"/>
      <c r="E15" s="26"/>
      <c r="F15" s="276"/>
      <c r="G15" s="25"/>
      <c r="H15" s="27"/>
      <c r="I15" s="210">
        <f t="shared" si="0"/>
        <v>0</v>
      </c>
      <c r="J15" s="210">
        <v>1.4173432744935597E-2</v>
      </c>
      <c r="O15" s="305"/>
    </row>
    <row r="16" spans="1:15">
      <c r="A16" s="35">
        <v>14</v>
      </c>
      <c r="B16" s="25"/>
      <c r="C16" s="25"/>
      <c r="D16" s="26"/>
      <c r="E16" s="26"/>
      <c r="F16" s="276"/>
      <c r="G16" s="25"/>
      <c r="H16" s="27"/>
      <c r="I16" s="210">
        <f t="shared" si="0"/>
        <v>0</v>
      </c>
      <c r="J16" s="210">
        <v>3.5448598637397521E-2</v>
      </c>
      <c r="O16" s="305"/>
    </row>
    <row r="17" spans="1:15">
      <c r="A17" s="35">
        <v>15</v>
      </c>
      <c r="B17" s="25"/>
      <c r="C17" s="25"/>
      <c r="D17" s="26"/>
      <c r="E17" s="26"/>
      <c r="F17" s="276"/>
      <c r="G17" s="25"/>
      <c r="H17" s="27"/>
      <c r="I17" s="210">
        <f t="shared" si="0"/>
        <v>0</v>
      </c>
      <c r="J17" s="210">
        <v>1.3786464546098149E-2</v>
      </c>
      <c r="O17" s="305"/>
    </row>
    <row r="18" spans="1:15">
      <c r="A18" s="35">
        <v>16</v>
      </c>
      <c r="B18" s="25"/>
      <c r="C18" s="25"/>
      <c r="D18" s="26"/>
      <c r="E18" s="26"/>
      <c r="F18" s="276"/>
      <c r="G18" s="25"/>
      <c r="H18" s="27"/>
      <c r="I18" s="210">
        <f t="shared" si="0"/>
        <v>0</v>
      </c>
      <c r="J18" s="210">
        <v>2.3381886327394796E-2</v>
      </c>
      <c r="O18" s="305"/>
    </row>
    <row r="19" spans="1:15">
      <c r="A19" s="35">
        <v>17</v>
      </c>
      <c r="B19" s="25"/>
      <c r="C19" s="25"/>
      <c r="D19" s="26"/>
      <c r="E19" s="26"/>
      <c r="F19" s="276"/>
      <c r="G19" s="25"/>
      <c r="H19" s="27"/>
      <c r="I19" s="210">
        <f t="shared" si="0"/>
        <v>0</v>
      </c>
      <c r="J19" s="210">
        <v>1.7219843162904071E-2</v>
      </c>
      <c r="O19" s="305"/>
    </row>
    <row r="20" spans="1:15">
      <c r="A20" s="35">
        <v>18</v>
      </c>
      <c r="B20" s="25"/>
      <c r="C20" s="25"/>
      <c r="D20" s="26" t="s">
        <v>44</v>
      </c>
      <c r="E20" s="26"/>
      <c r="F20" s="276"/>
      <c r="G20" s="25"/>
      <c r="H20" s="27"/>
      <c r="I20" s="210">
        <f t="shared" si="0"/>
        <v>0</v>
      </c>
      <c r="J20" s="210">
        <v>1.1417681975327252E-2</v>
      </c>
      <c r="O20" s="305"/>
    </row>
    <row r="21" spans="1:15">
      <c r="A21" s="35">
        <v>19</v>
      </c>
      <c r="B21" s="25"/>
      <c r="C21" s="25"/>
      <c r="D21" s="26" t="s">
        <v>44</v>
      </c>
      <c r="E21" s="26"/>
      <c r="F21" s="276"/>
      <c r="G21" s="25"/>
      <c r="H21" s="27"/>
      <c r="I21" s="210">
        <f t="shared" si="0"/>
        <v>0</v>
      </c>
      <c r="J21" s="210">
        <v>3.7775105821058884E-2</v>
      </c>
      <c r="O21" s="305"/>
    </row>
    <row r="22" spans="1:15">
      <c r="A22" s="35">
        <v>20</v>
      </c>
      <c r="B22" s="25"/>
      <c r="C22" s="25"/>
      <c r="D22" s="26" t="s">
        <v>44</v>
      </c>
      <c r="E22" s="26"/>
      <c r="F22" s="276"/>
      <c r="G22" s="25"/>
      <c r="H22" s="27"/>
      <c r="I22" s="210">
        <f t="shared" si="0"/>
        <v>0</v>
      </c>
      <c r="J22" s="210">
        <v>5.0917538107316139E-3</v>
      </c>
      <c r="O22" s="305"/>
    </row>
    <row r="23" spans="1:15">
      <c r="A23" s="35">
        <v>21</v>
      </c>
      <c r="B23" s="25"/>
      <c r="C23" s="25"/>
      <c r="D23" s="26" t="s">
        <v>44</v>
      </c>
      <c r="E23" s="26"/>
      <c r="F23" s="276"/>
      <c r="G23" s="25"/>
      <c r="H23" s="27"/>
      <c r="I23" s="210">
        <f t="shared" si="0"/>
        <v>0</v>
      </c>
      <c r="J23" s="210">
        <v>2.6701280650675142E-3</v>
      </c>
      <c r="O23" s="305"/>
    </row>
    <row r="24" spans="1:15">
      <c r="A24" s="35">
        <v>22</v>
      </c>
      <c r="B24" s="25"/>
      <c r="C24" s="25"/>
      <c r="D24" s="26" t="s">
        <v>44</v>
      </c>
      <c r="E24" s="26"/>
      <c r="F24" s="276"/>
      <c r="G24" s="25"/>
      <c r="H24" s="27"/>
      <c r="I24" s="210">
        <f t="shared" si="0"/>
        <v>0</v>
      </c>
      <c r="J24" s="210">
        <v>7.7757695845035489E-3</v>
      </c>
      <c r="O24" s="305"/>
    </row>
    <row r="25" spans="1:15">
      <c r="A25" s="35">
        <v>23</v>
      </c>
      <c r="B25" s="25"/>
      <c r="C25" s="25"/>
      <c r="D25" s="26" t="s">
        <v>44</v>
      </c>
      <c r="E25" s="26"/>
      <c r="F25" s="276"/>
      <c r="G25" s="25"/>
      <c r="H25" s="27"/>
      <c r="I25" s="210">
        <f t="shared" si="0"/>
        <v>0</v>
      </c>
      <c r="J25" s="210">
        <v>2.4329787281480678E-2</v>
      </c>
      <c r="O25" s="305"/>
    </row>
    <row r="26" spans="1:15">
      <c r="A26" s="35">
        <v>24</v>
      </c>
      <c r="B26" s="25"/>
      <c r="C26" s="25"/>
      <c r="D26" s="26" t="s">
        <v>44</v>
      </c>
      <c r="E26" s="26"/>
      <c r="F26" s="276"/>
      <c r="G26" s="25"/>
      <c r="H26" s="27"/>
      <c r="I26" s="210">
        <f t="shared" si="0"/>
        <v>0</v>
      </c>
      <c r="J26" s="210">
        <v>2.0450769029904045E-2</v>
      </c>
      <c r="O26" s="305"/>
    </row>
    <row r="27" spans="1:15">
      <c r="A27" s="35">
        <v>25</v>
      </c>
      <c r="B27" s="25"/>
      <c r="C27" s="25"/>
      <c r="D27" s="26" t="s">
        <v>44</v>
      </c>
      <c r="E27" s="26"/>
      <c r="F27" s="276"/>
      <c r="G27" s="25"/>
      <c r="H27" s="27"/>
      <c r="I27" s="210">
        <f t="shared" si="0"/>
        <v>0</v>
      </c>
      <c r="J27" s="210">
        <v>2.0939115413057346E-2</v>
      </c>
      <c r="O27" s="305"/>
    </row>
    <row r="28" spans="1:15">
      <c r="A28" s="35">
        <v>26</v>
      </c>
      <c r="B28" s="25"/>
      <c r="C28" s="25"/>
      <c r="D28" s="26" t="s">
        <v>44</v>
      </c>
      <c r="E28" s="26"/>
      <c r="F28" s="276"/>
      <c r="G28" s="25"/>
      <c r="H28" s="27"/>
      <c r="I28" s="210">
        <f t="shared" si="0"/>
        <v>0</v>
      </c>
      <c r="J28" s="210">
        <v>6.3929616149408152E-3</v>
      </c>
      <c r="O28" s="305"/>
    </row>
    <row r="29" spans="1:15">
      <c r="A29" s="35">
        <v>27</v>
      </c>
      <c r="B29" s="25"/>
      <c r="C29" s="25"/>
      <c r="D29" s="26" t="s">
        <v>44</v>
      </c>
      <c r="E29" s="26"/>
      <c r="F29" s="276"/>
      <c r="G29" s="25"/>
      <c r="H29" s="27"/>
      <c r="I29" s="210">
        <f t="shared" si="0"/>
        <v>0</v>
      </c>
      <c r="J29" s="210">
        <v>1.1228633230459724E-2</v>
      </c>
      <c r="O29" s="305"/>
    </row>
    <row r="30" spans="1:15">
      <c r="A30" s="35">
        <v>28</v>
      </c>
      <c r="B30" s="25"/>
      <c r="C30" s="25"/>
      <c r="D30" s="26" t="s">
        <v>44</v>
      </c>
      <c r="E30" s="26"/>
      <c r="F30" s="276"/>
      <c r="G30" s="25"/>
      <c r="H30" s="27"/>
      <c r="I30" s="210">
        <f t="shared" si="0"/>
        <v>0</v>
      </c>
      <c r="J30" s="210">
        <v>2.2789964265901737E-2</v>
      </c>
      <c r="O30" s="305"/>
    </row>
    <row r="31" spans="1:15">
      <c r="A31" s="35">
        <v>29</v>
      </c>
      <c r="B31" s="25"/>
      <c r="C31" s="25"/>
      <c r="D31" s="26" t="s">
        <v>44</v>
      </c>
      <c r="E31" s="26"/>
      <c r="F31" s="276"/>
      <c r="G31" s="25"/>
      <c r="H31" s="27"/>
      <c r="I31" s="210">
        <f t="shared" si="0"/>
        <v>0</v>
      </c>
      <c r="J31" s="210">
        <v>1.2410800597369508E-2</v>
      </c>
      <c r="O31" s="305"/>
    </row>
    <row r="32" spans="1:15">
      <c r="A32" s="35">
        <v>30</v>
      </c>
      <c r="B32" s="25"/>
      <c r="C32" s="25"/>
      <c r="D32" s="26" t="s">
        <v>44</v>
      </c>
      <c r="E32" s="26"/>
      <c r="F32" s="276"/>
      <c r="G32" s="25"/>
      <c r="H32" s="27"/>
      <c r="I32" s="210">
        <f t="shared" si="0"/>
        <v>0</v>
      </c>
      <c r="J32" s="210">
        <v>3.6737779709876087E-2</v>
      </c>
      <c r="O32" s="305"/>
    </row>
    <row r="33" spans="1:15">
      <c r="A33" s="35">
        <v>31</v>
      </c>
      <c r="B33" s="25"/>
      <c r="C33" s="25"/>
      <c r="D33" s="26" t="s">
        <v>44</v>
      </c>
      <c r="E33" s="26"/>
      <c r="F33" s="276"/>
      <c r="G33" s="25"/>
      <c r="H33" s="27"/>
      <c r="I33" s="210">
        <f t="shared" si="0"/>
        <v>0</v>
      </c>
      <c r="J33" s="210">
        <v>3.131286249720204E-2</v>
      </c>
      <c r="O33" s="305"/>
    </row>
    <row r="34" spans="1:15">
      <c r="A34" s="35">
        <v>32</v>
      </c>
      <c r="B34" s="25"/>
      <c r="C34" s="25"/>
      <c r="D34" s="26" t="s">
        <v>44</v>
      </c>
      <c r="E34" s="26"/>
      <c r="F34" s="276"/>
      <c r="G34" s="25"/>
      <c r="H34" s="27"/>
      <c r="I34" s="210">
        <f t="shared" si="0"/>
        <v>0</v>
      </c>
      <c r="J34" s="210">
        <v>1.4989701104620545E-3</v>
      </c>
      <c r="O34" s="305"/>
    </row>
    <row r="35" spans="1:15">
      <c r="A35" s="36"/>
    </row>
    <row r="36" spans="1:15">
      <c r="A36" s="36"/>
      <c r="B36" s="550" t="s">
        <v>41</v>
      </c>
      <c r="C36" s="551"/>
      <c r="D36" s="551"/>
      <c r="E36" s="552"/>
      <c r="F36" s="278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71</v>
      </c>
      <c r="F37" s="278"/>
    </row>
    <row r="38" spans="1:15">
      <c r="A38" s="36"/>
      <c r="B38" s="30">
        <v>1</v>
      </c>
      <c r="C38" s="31"/>
      <c r="D38" s="32"/>
      <c r="E38" s="31"/>
      <c r="F38" s="279"/>
    </row>
    <row r="39" spans="1:15">
      <c r="A39" s="36"/>
      <c r="B39" s="30">
        <v>2</v>
      </c>
      <c r="C39" s="31"/>
      <c r="D39" s="32"/>
      <c r="E39" s="31"/>
      <c r="F39" s="279"/>
    </row>
    <row r="40" spans="1:15">
      <c r="A40" s="36"/>
      <c r="B40" s="30">
        <v>3</v>
      </c>
      <c r="C40" s="31"/>
      <c r="D40" s="32"/>
      <c r="E40" s="31"/>
      <c r="F40" s="279"/>
    </row>
    <row r="41" spans="1:15">
      <c r="A41" s="36"/>
      <c r="B41" s="30">
        <v>4</v>
      </c>
      <c r="C41" s="31"/>
      <c r="D41" s="32"/>
      <c r="E41" s="31"/>
      <c r="F41" s="279"/>
      <c r="G41" s="453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279"/>
      <c r="G42" s="553" t="str">
        <f>Setup!B10</f>
        <v>Μαρίνα Μουτσάκη</v>
      </c>
      <c r="H42" s="553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4" priority="15" stopIfTrue="1">
      <formula>AND(#REF!&lt;9,#REF!&gt;0)</formula>
    </cfRule>
  </conditionalFormatting>
  <conditionalFormatting sqref="A3:B34">
    <cfRule type="cellIs" dxfId="43" priority="16" stopIfTrue="1" operator="equal">
      <formula>"QA"</formula>
    </cfRule>
    <cfRule type="cellIs" dxfId="42" priority="17" stopIfTrue="1" operator="equal">
      <formula>"DA"</formula>
    </cfRule>
  </conditionalFormatting>
  <conditionalFormatting sqref="D29">
    <cfRule type="expression" dxfId="41" priority="12" stopIfTrue="1">
      <formula>AND(#REF!&lt;9,#REF!&gt;0)</formula>
    </cfRule>
  </conditionalFormatting>
  <conditionalFormatting sqref="D13:D28">
    <cfRule type="expression" dxfId="40" priority="9" stopIfTrue="1">
      <formula>AND(#REF!&lt;9,#REF!&gt;0)</formula>
    </cfRule>
  </conditionalFormatting>
  <conditionalFormatting sqref="F13:F34">
    <cfRule type="cellIs" dxfId="39" priority="7" stopIfTrue="1" operator="equal">
      <formula>"QA"</formula>
    </cfRule>
    <cfRule type="cellIs" dxfId="38" priority="8" stopIfTrue="1" operator="equal">
      <formula>"DA"</formula>
    </cfRule>
  </conditionalFormatting>
  <conditionalFormatting sqref="D3:D12">
    <cfRule type="expression" dxfId="37" priority="3" stopIfTrue="1">
      <formula>AND(#REF!&lt;9,#REF!&gt;0)</formula>
    </cfRule>
  </conditionalFormatting>
  <conditionalFormatting sqref="F3:F12">
    <cfRule type="cellIs" dxfId="36" priority="1" stopIfTrue="1" operator="equal">
      <formula>"QA"</formula>
    </cfRule>
    <cfRule type="cellIs" dxfId="35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3.7109375" style="49" bestFit="1" customWidth="1"/>
    <col min="2" max="2" width="4.7109375" style="49" customWidth="1"/>
    <col min="3" max="3" width="7" style="49" bestFit="1" customWidth="1"/>
    <col min="4" max="4" width="35.7109375" style="44" customWidth="1"/>
    <col min="5" max="5" width="30.7109375" style="50" customWidth="1"/>
    <col min="6" max="6" width="5.85546875" style="209" bestFit="1" customWidth="1"/>
    <col min="7" max="7" width="13.42578125" style="44" bestFit="1" customWidth="1"/>
    <col min="8" max="8" width="11.7109375" style="44" customWidth="1"/>
    <col min="9" max="9" width="7.42578125" style="214" hidden="1" customWidth="1"/>
    <col min="10" max="10" width="6.7109375" style="214" hidden="1" customWidth="1"/>
    <col min="11" max="11" width="9.140625" style="214" customWidth="1"/>
    <col min="12" max="12" width="8.85546875" style="44" customWidth="1"/>
    <col min="13" max="16384" width="9.140625" style="44"/>
  </cols>
  <sheetData>
    <row r="1" spans="1:15" s="40" customFormat="1" ht="21" customHeight="1">
      <c r="A1" s="554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5"/>
      <c r="C1" s="555"/>
      <c r="D1" s="555"/>
      <c r="E1" s="555"/>
      <c r="F1" s="555"/>
      <c r="G1" s="555"/>
      <c r="H1" s="274" t="str">
        <f>Setup!$B$7</f>
        <v>Κ14</v>
      </c>
      <c r="I1" s="212"/>
      <c r="J1" s="212"/>
      <c r="K1" s="212"/>
    </row>
    <row r="2" spans="1:15" s="41" customFormat="1" ht="13.9" customHeight="1">
      <c r="A2" s="51" t="s">
        <v>9</v>
      </c>
      <c r="B2" s="51" t="s">
        <v>19</v>
      </c>
      <c r="C2" s="51" t="s">
        <v>73</v>
      </c>
      <c r="D2" s="51" t="s">
        <v>6</v>
      </c>
      <c r="E2" s="51" t="s">
        <v>8</v>
      </c>
      <c r="F2" s="208" t="s">
        <v>70</v>
      </c>
      <c r="G2" s="51" t="s">
        <v>72</v>
      </c>
      <c r="H2" s="51" t="s">
        <v>50</v>
      </c>
      <c r="I2" s="211" t="s">
        <v>59</v>
      </c>
      <c r="J2" s="211" t="s">
        <v>100</v>
      </c>
      <c r="K2" s="211"/>
    </row>
    <row r="3" spans="1:15">
      <c r="A3" s="52">
        <v>1</v>
      </c>
      <c r="B3" s="31"/>
      <c r="C3" s="25">
        <v>29656</v>
      </c>
      <c r="D3" s="26" t="s">
        <v>124</v>
      </c>
      <c r="E3" s="26" t="s">
        <v>125</v>
      </c>
      <c r="F3" s="321">
        <v>126</v>
      </c>
      <c r="G3" s="535"/>
      <c r="H3" s="32"/>
      <c r="I3" s="210">
        <f t="shared" ref="I3:I34" si="0">IF(C3="",0,F3+J3)</f>
        <v>126.00410629147491</v>
      </c>
      <c r="J3" s="213">
        <v>4.1062914749102038E-3</v>
      </c>
      <c r="K3" s="213"/>
      <c r="O3" s="305"/>
    </row>
    <row r="4" spans="1:15">
      <c r="A4" s="52">
        <v>2</v>
      </c>
      <c r="B4" s="31"/>
      <c r="C4" s="25">
        <v>28070</v>
      </c>
      <c r="D4" s="26" t="s">
        <v>138</v>
      </c>
      <c r="E4" s="26" t="s">
        <v>131</v>
      </c>
      <c r="F4" s="31">
        <v>109</v>
      </c>
      <c r="G4" s="31"/>
      <c r="H4" s="32"/>
      <c r="I4" s="210">
        <f t="shared" si="0"/>
        <v>109.000263166453</v>
      </c>
      <c r="J4" s="213">
        <v>2.6316645299793604E-4</v>
      </c>
      <c r="K4" s="213"/>
      <c r="O4" s="305"/>
    </row>
    <row r="5" spans="1:15">
      <c r="A5" s="52">
        <v>3</v>
      </c>
      <c r="B5" s="31"/>
      <c r="C5" s="25">
        <v>29654</v>
      </c>
      <c r="D5" s="26" t="s">
        <v>127</v>
      </c>
      <c r="E5" s="26" t="s">
        <v>125</v>
      </c>
      <c r="F5" s="321">
        <v>84</v>
      </c>
      <c r="G5" s="31"/>
      <c r="H5" s="32"/>
      <c r="I5" s="210">
        <f t="shared" si="0"/>
        <v>84.001303164054747</v>
      </c>
      <c r="J5" s="213">
        <v>1.3031640547454604E-3</v>
      </c>
      <c r="K5" s="213"/>
      <c r="O5" s="305"/>
    </row>
    <row r="6" spans="1:15">
      <c r="A6" s="52">
        <v>4</v>
      </c>
      <c r="B6" s="31"/>
      <c r="C6" s="25">
        <v>29655</v>
      </c>
      <c r="D6" s="26" t="s">
        <v>136</v>
      </c>
      <c r="E6" s="26" t="s">
        <v>137</v>
      </c>
      <c r="F6" s="321">
        <v>81</v>
      </c>
      <c r="G6" s="31">
        <v>6974722746</v>
      </c>
      <c r="H6" s="32"/>
      <c r="I6" s="210">
        <f t="shared" si="0"/>
        <v>81.021344555360258</v>
      </c>
      <c r="J6" s="213">
        <v>2.1344555360263619E-2</v>
      </c>
      <c r="K6" s="213"/>
      <c r="O6" s="305"/>
    </row>
    <row r="7" spans="1:15">
      <c r="A7" s="52">
        <v>5</v>
      </c>
      <c r="B7" s="31"/>
      <c r="C7" s="25">
        <v>30099</v>
      </c>
      <c r="D7" s="26" t="s">
        <v>126</v>
      </c>
      <c r="E7" s="26" t="s">
        <v>125</v>
      </c>
      <c r="F7" s="321">
        <v>73</v>
      </c>
      <c r="G7" s="31"/>
      <c r="H7" s="32"/>
      <c r="I7" s="210">
        <f t="shared" si="0"/>
        <v>73.01495055100186</v>
      </c>
      <c r="J7" s="213">
        <v>1.4950551001861302E-2</v>
      </c>
      <c r="K7" s="213"/>
      <c r="O7" s="305"/>
    </row>
    <row r="8" spans="1:15">
      <c r="A8" s="52">
        <v>6</v>
      </c>
      <c r="B8" s="31"/>
      <c r="C8" s="25" t="s">
        <v>134</v>
      </c>
      <c r="D8" s="26" t="s">
        <v>135</v>
      </c>
      <c r="E8" s="26" t="s">
        <v>131</v>
      </c>
      <c r="F8" s="321">
        <v>43</v>
      </c>
      <c r="G8" s="31"/>
      <c r="H8" s="32"/>
      <c r="I8" s="210">
        <f t="shared" si="0"/>
        <v>43.006483429045169</v>
      </c>
      <c r="J8" s="213">
        <v>6.4834290451706526E-3</v>
      </c>
      <c r="K8" s="213"/>
      <c r="O8" s="305"/>
    </row>
    <row r="9" spans="1:15">
      <c r="A9" s="52">
        <v>7</v>
      </c>
      <c r="B9" s="31"/>
      <c r="C9" s="25" t="s">
        <v>129</v>
      </c>
      <c r="D9" s="26" t="s">
        <v>130</v>
      </c>
      <c r="E9" s="26" t="s">
        <v>131</v>
      </c>
      <c r="F9" s="321">
        <v>34.5</v>
      </c>
      <c r="G9" s="31"/>
      <c r="H9" s="32"/>
      <c r="I9" s="210">
        <f t="shared" si="0"/>
        <v>34.520616377720955</v>
      </c>
      <c r="J9" s="213">
        <v>2.0616377720956897E-2</v>
      </c>
      <c r="K9" s="213"/>
      <c r="O9" s="305"/>
    </row>
    <row r="10" spans="1:15">
      <c r="A10" s="52">
        <v>8</v>
      </c>
      <c r="B10" s="31"/>
      <c r="C10" s="25">
        <v>30527</v>
      </c>
      <c r="D10" s="26" t="s">
        <v>128</v>
      </c>
      <c r="E10" s="26" t="s">
        <v>125</v>
      </c>
      <c r="F10" s="321">
        <v>33.5</v>
      </c>
      <c r="G10" s="31"/>
      <c r="H10" s="32"/>
      <c r="I10" s="210">
        <f t="shared" si="0"/>
        <v>33.539880192241299</v>
      </c>
      <c r="J10" s="213">
        <v>3.9880192241295916E-2</v>
      </c>
      <c r="K10" s="213"/>
      <c r="O10" s="305"/>
    </row>
    <row r="11" spans="1:15">
      <c r="A11" s="52">
        <v>9</v>
      </c>
      <c r="B11" s="31"/>
      <c r="C11" s="25" t="s">
        <v>132</v>
      </c>
      <c r="D11" s="26" t="s">
        <v>133</v>
      </c>
      <c r="E11" s="26" t="s">
        <v>131</v>
      </c>
      <c r="F11" s="321">
        <v>31</v>
      </c>
      <c r="G11" s="31"/>
      <c r="H11" s="32"/>
      <c r="I11" s="210">
        <f t="shared" si="0"/>
        <v>31.009004603792945</v>
      </c>
      <c r="J11" s="213">
        <v>9.0046037929455112E-3</v>
      </c>
      <c r="K11" s="213"/>
      <c r="O11" s="305"/>
    </row>
    <row r="12" spans="1:15">
      <c r="A12" s="52">
        <v>10</v>
      </c>
      <c r="B12" s="31"/>
      <c r="C12" s="25">
        <v>28188</v>
      </c>
      <c r="D12" s="26" t="s">
        <v>123</v>
      </c>
      <c r="E12" s="26" t="s">
        <v>120</v>
      </c>
      <c r="F12" s="321"/>
      <c r="G12" s="534">
        <v>6947309758</v>
      </c>
      <c r="H12" s="32"/>
      <c r="I12" s="210">
        <f t="shared" si="0"/>
        <v>2.9760459517101837E-2</v>
      </c>
      <c r="J12" s="213">
        <v>2.9760459517101837E-2</v>
      </c>
      <c r="K12" s="213"/>
      <c r="O12" s="305"/>
    </row>
    <row r="13" spans="1:15">
      <c r="A13" s="52">
        <v>11</v>
      </c>
      <c r="B13" s="31"/>
      <c r="C13" s="25"/>
      <c r="D13" s="26"/>
      <c r="E13" s="26"/>
      <c r="F13" s="31"/>
      <c r="G13" s="451"/>
      <c r="H13" s="32"/>
      <c r="I13" s="210">
        <f t="shared" si="0"/>
        <v>0</v>
      </c>
      <c r="J13" s="213">
        <v>1.5575208174666707E-2</v>
      </c>
      <c r="K13" s="213"/>
      <c r="O13" s="305"/>
    </row>
    <row r="14" spans="1:15">
      <c r="A14" s="52">
        <v>12</v>
      </c>
      <c r="B14" s="31"/>
      <c r="C14" s="25"/>
      <c r="D14" s="26"/>
      <c r="E14" s="26"/>
      <c r="F14" s="31"/>
      <c r="G14" s="31"/>
      <c r="H14" s="32"/>
      <c r="I14" s="210">
        <f t="shared" si="0"/>
        <v>0</v>
      </c>
      <c r="J14" s="213">
        <v>1.3015241542061152E-3</v>
      </c>
      <c r="K14" s="213"/>
      <c r="O14" s="305"/>
    </row>
    <row r="15" spans="1:15">
      <c r="A15" s="52">
        <v>13</v>
      </c>
      <c r="B15" s="31"/>
      <c r="C15" s="25"/>
      <c r="D15" s="26"/>
      <c r="E15" s="26"/>
      <c r="F15" s="31"/>
      <c r="G15" s="31"/>
      <c r="H15" s="32"/>
      <c r="I15" s="210">
        <f t="shared" si="0"/>
        <v>0</v>
      </c>
      <c r="J15" s="213">
        <v>3.5072283067838612E-2</v>
      </c>
      <c r="K15" s="213"/>
      <c r="O15" s="305"/>
    </row>
    <row r="16" spans="1:15">
      <c r="A16" s="52">
        <v>14</v>
      </c>
      <c r="B16" s="31"/>
      <c r="C16" s="25"/>
      <c r="D16" s="26"/>
      <c r="E16" s="26"/>
      <c r="F16" s="321"/>
      <c r="G16" s="31"/>
      <c r="H16" s="32"/>
      <c r="I16" s="210">
        <f t="shared" si="0"/>
        <v>0</v>
      </c>
      <c r="J16" s="213">
        <v>2.7931870506339641E-2</v>
      </c>
      <c r="K16" s="213"/>
      <c r="O16" s="305"/>
    </row>
    <row r="17" spans="1:15">
      <c r="A17" s="52">
        <v>15</v>
      </c>
      <c r="B17" s="31"/>
      <c r="C17" s="25"/>
      <c r="D17" s="26"/>
      <c r="E17" s="26"/>
      <c r="F17" s="31"/>
      <c r="G17" s="31"/>
      <c r="H17" s="32"/>
      <c r="I17" s="210">
        <f t="shared" si="0"/>
        <v>0</v>
      </c>
      <c r="J17" s="213">
        <v>2.8524493830771148E-2</v>
      </c>
      <c r="K17" s="213"/>
      <c r="O17" s="305"/>
    </row>
    <row r="18" spans="1:15">
      <c r="A18" s="52">
        <v>16</v>
      </c>
      <c r="B18" s="31"/>
      <c r="C18" s="25"/>
      <c r="D18" s="26"/>
      <c r="E18" s="26"/>
      <c r="F18" s="31"/>
      <c r="G18" s="31"/>
      <c r="H18" s="32"/>
      <c r="I18" s="210">
        <f t="shared" si="0"/>
        <v>0</v>
      </c>
      <c r="J18" s="213">
        <v>3.3194632312791121E-2</v>
      </c>
      <c r="K18" s="213"/>
      <c r="O18" s="305"/>
    </row>
    <row r="19" spans="1:15">
      <c r="A19" s="52">
        <v>17</v>
      </c>
      <c r="B19" s="31"/>
      <c r="C19" s="31"/>
      <c r="D19" s="48"/>
      <c r="E19" s="32"/>
      <c r="F19" s="31"/>
      <c r="G19" s="31"/>
      <c r="H19" s="32"/>
      <c r="I19" s="210">
        <f t="shared" si="0"/>
        <v>0</v>
      </c>
      <c r="J19" s="213">
        <v>1.0901185556048106E-2</v>
      </c>
      <c r="K19" s="213"/>
      <c r="O19" s="305"/>
    </row>
    <row r="20" spans="1:15">
      <c r="A20" s="52">
        <v>18</v>
      </c>
      <c r="B20" s="31"/>
      <c r="C20" s="25"/>
      <c r="D20" s="26"/>
      <c r="E20" s="26"/>
      <c r="F20" s="31"/>
      <c r="G20" s="31"/>
      <c r="H20" s="32"/>
      <c r="I20" s="210">
        <f t="shared" si="0"/>
        <v>0</v>
      </c>
      <c r="J20" s="213">
        <v>1.9606781819468109E-3</v>
      </c>
      <c r="K20" s="213"/>
      <c r="O20" s="305"/>
    </row>
    <row r="21" spans="1:15">
      <c r="A21" s="52">
        <v>19</v>
      </c>
      <c r="B21" s="31"/>
      <c r="C21" s="47"/>
      <c r="D21" s="32"/>
      <c r="E21" s="32"/>
      <c r="F21" s="31"/>
      <c r="G21" s="451"/>
      <c r="H21" s="32"/>
      <c r="I21" s="210">
        <f t="shared" si="0"/>
        <v>0</v>
      </c>
      <c r="J21" s="213">
        <v>1.9882939742782321E-2</v>
      </c>
      <c r="K21" s="213"/>
      <c r="O21" s="305"/>
    </row>
    <row r="22" spans="1:15">
      <c r="A22" s="52">
        <v>20</v>
      </c>
      <c r="B22" s="31"/>
      <c r="C22" s="31"/>
      <c r="D22" s="45"/>
      <c r="E22" s="45"/>
      <c r="F22" s="31"/>
      <c r="G22" s="31"/>
      <c r="H22" s="32"/>
      <c r="I22" s="210">
        <f t="shared" si="0"/>
        <v>0</v>
      </c>
      <c r="J22" s="213">
        <v>1.9070076936678441E-2</v>
      </c>
      <c r="K22" s="213"/>
      <c r="O22" s="305"/>
    </row>
    <row r="23" spans="1:15">
      <c r="A23" s="52">
        <v>21</v>
      </c>
      <c r="B23" s="31"/>
      <c r="C23" s="31"/>
      <c r="D23" s="32"/>
      <c r="E23" s="32"/>
      <c r="F23" s="31"/>
      <c r="G23" s="31"/>
      <c r="H23" s="32"/>
      <c r="I23" s="210">
        <f t="shared" si="0"/>
        <v>0</v>
      </c>
      <c r="J23" s="213">
        <v>2.829121703296238E-2</v>
      </c>
      <c r="K23" s="213"/>
      <c r="O23" s="305"/>
    </row>
    <row r="24" spans="1:15">
      <c r="A24" s="52">
        <v>22</v>
      </c>
      <c r="B24" s="31"/>
      <c r="C24" s="31"/>
      <c r="D24" s="32"/>
      <c r="E24" s="27"/>
      <c r="F24" s="31"/>
      <c r="G24" s="31"/>
      <c r="H24" s="32"/>
      <c r="I24" s="210">
        <f t="shared" si="0"/>
        <v>0</v>
      </c>
      <c r="J24" s="213">
        <v>2.5438230353575869E-2</v>
      </c>
      <c r="K24" s="213"/>
      <c r="O24" s="305"/>
    </row>
    <row r="25" spans="1:15">
      <c r="A25" s="52">
        <v>23</v>
      </c>
      <c r="B25" s="31"/>
      <c r="C25" s="31"/>
      <c r="D25" s="32"/>
      <c r="E25" s="32"/>
      <c r="F25" s="31"/>
      <c r="G25" s="31"/>
      <c r="H25" s="32"/>
      <c r="I25" s="210">
        <f t="shared" si="0"/>
        <v>0</v>
      </c>
      <c r="J25" s="213">
        <v>1.4995442471880631E-2</v>
      </c>
      <c r="K25" s="213"/>
      <c r="O25" s="305"/>
    </row>
    <row r="26" spans="1:15">
      <c r="A26" s="52">
        <v>24</v>
      </c>
      <c r="B26" s="31"/>
      <c r="C26" s="31"/>
      <c r="D26" s="48"/>
      <c r="E26" s="32"/>
      <c r="F26" s="31"/>
      <c r="G26" s="31"/>
      <c r="H26" s="32"/>
      <c r="I26" s="210">
        <f t="shared" si="0"/>
        <v>0</v>
      </c>
      <c r="J26" s="213">
        <v>1.9219713426089288E-2</v>
      </c>
      <c r="K26" s="213"/>
      <c r="O26" s="305"/>
    </row>
    <row r="27" spans="1:15">
      <c r="A27" s="52">
        <v>25</v>
      </c>
      <c r="B27" s="31"/>
      <c r="C27" s="31"/>
      <c r="D27" s="42"/>
      <c r="E27" s="32"/>
      <c r="F27" s="31"/>
      <c r="G27" s="31"/>
      <c r="H27" s="32"/>
      <c r="I27" s="210">
        <f t="shared" si="0"/>
        <v>0</v>
      </c>
      <c r="J27" s="213">
        <v>3.6040220226136253E-2</v>
      </c>
      <c r="K27" s="213"/>
      <c r="O27" s="305"/>
    </row>
    <row r="28" spans="1:15">
      <c r="A28" s="52">
        <v>26</v>
      </c>
      <c r="B28" s="31"/>
      <c r="C28" s="46"/>
      <c r="D28" s="27"/>
      <c r="E28" s="27"/>
      <c r="F28" s="31"/>
      <c r="G28" s="31"/>
      <c r="H28" s="32"/>
      <c r="I28" s="210">
        <f t="shared" si="0"/>
        <v>0</v>
      </c>
      <c r="J28" s="213">
        <v>1.2810475907970256E-2</v>
      </c>
      <c r="K28" s="213"/>
      <c r="O28" s="305"/>
    </row>
    <row r="29" spans="1:15">
      <c r="A29" s="52">
        <v>27</v>
      </c>
      <c r="B29" s="31"/>
      <c r="C29" s="47"/>
      <c r="D29" s="32"/>
      <c r="E29" s="32"/>
      <c r="F29" s="31"/>
      <c r="G29" s="31"/>
      <c r="H29" s="32"/>
      <c r="I29" s="210">
        <f t="shared" si="0"/>
        <v>0</v>
      </c>
      <c r="J29" s="213">
        <v>4.275948870629165E-4</v>
      </c>
      <c r="K29" s="213"/>
      <c r="O29" s="305"/>
    </row>
    <row r="30" spans="1:15">
      <c r="A30" s="52">
        <v>28</v>
      </c>
      <c r="B30" s="31"/>
      <c r="C30" s="43"/>
      <c r="D30" s="42"/>
      <c r="E30" s="32"/>
      <c r="F30" s="31"/>
      <c r="G30" s="31"/>
      <c r="H30" s="32"/>
      <c r="I30" s="210">
        <f t="shared" si="0"/>
        <v>0</v>
      </c>
      <c r="J30" s="213">
        <v>1.1277412713896684E-2</v>
      </c>
      <c r="K30" s="213"/>
      <c r="O30" s="305"/>
    </row>
    <row r="31" spans="1:15">
      <c r="A31" s="52">
        <v>29</v>
      </c>
      <c r="B31" s="31"/>
      <c r="C31" s="43"/>
      <c r="D31" s="42"/>
      <c r="E31" s="32"/>
      <c r="F31" s="31"/>
      <c r="G31" s="451"/>
      <c r="H31" s="32"/>
      <c r="I31" s="210">
        <f t="shared" si="0"/>
        <v>0</v>
      </c>
      <c r="J31" s="213">
        <v>3.8346559760677988E-2</v>
      </c>
      <c r="K31" s="213"/>
      <c r="O31" s="305"/>
    </row>
    <row r="32" spans="1:15">
      <c r="A32" s="52">
        <v>30</v>
      </c>
      <c r="B32" s="31"/>
      <c r="C32" s="31"/>
      <c r="D32" s="32"/>
      <c r="E32" s="45"/>
      <c r="F32" s="31"/>
      <c r="G32" s="31"/>
      <c r="H32" s="32"/>
      <c r="I32" s="210">
        <f t="shared" si="0"/>
        <v>0</v>
      </c>
      <c r="J32" s="213">
        <v>7.0879977876877479E-3</v>
      </c>
      <c r="K32" s="213"/>
      <c r="O32" s="305"/>
    </row>
    <row r="33" spans="1:15">
      <c r="A33" s="52">
        <v>31</v>
      </c>
      <c r="B33" s="31"/>
      <c r="C33" s="46"/>
      <c r="D33" s="27"/>
      <c r="E33" s="27"/>
      <c r="F33" s="31"/>
      <c r="G33" s="451"/>
      <c r="H33" s="32"/>
      <c r="I33" s="210">
        <f t="shared" si="0"/>
        <v>0</v>
      </c>
      <c r="J33" s="213">
        <v>3.1664758564799167E-2</v>
      </c>
      <c r="K33" s="213"/>
      <c r="O33" s="305"/>
    </row>
    <row r="34" spans="1:15">
      <c r="A34" s="52">
        <v>32</v>
      </c>
      <c r="B34" s="31"/>
      <c r="C34" s="46"/>
      <c r="D34" s="27"/>
      <c r="E34" s="32"/>
      <c r="F34" s="31"/>
      <c r="G34" s="31"/>
      <c r="H34" s="32"/>
      <c r="I34" s="210">
        <f t="shared" si="0"/>
        <v>0</v>
      </c>
      <c r="J34" s="213">
        <v>3.1532151258182137E-2</v>
      </c>
      <c r="K34" s="213"/>
      <c r="O34" s="305"/>
    </row>
    <row r="35" spans="1:15">
      <c r="A35" s="53"/>
      <c r="J35" s="213"/>
      <c r="K35" s="213"/>
    </row>
    <row r="36" spans="1:15">
      <c r="A36" s="53"/>
      <c r="B36" s="550" t="s">
        <v>41</v>
      </c>
      <c r="C36" s="551"/>
      <c r="D36" s="551"/>
      <c r="E36" s="552"/>
    </row>
    <row r="37" spans="1:15">
      <c r="A37" s="53"/>
      <c r="B37" s="37" t="s">
        <v>9</v>
      </c>
      <c r="C37" s="37" t="s">
        <v>7</v>
      </c>
      <c r="D37" s="37" t="s">
        <v>6</v>
      </c>
      <c r="E37" s="37" t="s">
        <v>71</v>
      </c>
    </row>
    <row r="38" spans="1:15">
      <c r="A38" s="53"/>
      <c r="B38" s="30">
        <v>1</v>
      </c>
      <c r="C38" s="31"/>
      <c r="D38" s="32"/>
      <c r="E38" s="31"/>
    </row>
    <row r="39" spans="1:15">
      <c r="A39" s="53"/>
      <c r="B39" s="30">
        <v>2</v>
      </c>
      <c r="C39" s="31"/>
      <c r="D39" s="32"/>
      <c r="E39" s="31"/>
    </row>
    <row r="40" spans="1:15">
      <c r="A40" s="53"/>
      <c r="B40" s="30">
        <v>3</v>
      </c>
      <c r="C40" s="31"/>
      <c r="D40" s="32"/>
      <c r="E40" s="31"/>
    </row>
    <row r="41" spans="1:15">
      <c r="A41" s="53"/>
      <c r="B41" s="30">
        <v>4</v>
      </c>
      <c r="C41" s="31"/>
      <c r="D41" s="32"/>
      <c r="E41" s="31"/>
      <c r="G41" s="452" t="s">
        <v>36</v>
      </c>
      <c r="H41" s="39"/>
    </row>
    <row r="42" spans="1:15">
      <c r="A42" s="53"/>
      <c r="B42" s="30">
        <v>5</v>
      </c>
      <c r="C42" s="31"/>
      <c r="D42" s="32"/>
      <c r="E42" s="31"/>
      <c r="G42" s="553" t="str">
        <f>Setup!B10</f>
        <v>Μαρίνα Μουτσάκη</v>
      </c>
      <c r="H42" s="553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4" priority="7" stopIfTrue="1">
      <formula>#REF!="CU"</formula>
    </cfRule>
  </conditionalFormatting>
  <conditionalFormatting sqref="E26:E33">
    <cfRule type="expression" dxfId="33" priority="8" stopIfTrue="1">
      <formula>AND(#REF!&lt;9,#REF!&gt;0)</formula>
    </cfRule>
  </conditionalFormatting>
  <conditionalFormatting sqref="D3:D10">
    <cfRule type="expression" dxfId="32" priority="6" stopIfTrue="1">
      <formula>AND(#REF!&lt;9,#REF!&gt;0)</formula>
    </cfRule>
  </conditionalFormatting>
  <conditionalFormatting sqref="F3:F12">
    <cfRule type="cellIs" dxfId="31" priority="4" stopIfTrue="1" operator="equal">
      <formula>"QA"</formula>
    </cfRule>
    <cfRule type="cellIs" dxfId="30" priority="5" stopIfTrue="1" operator="equal">
      <formula>"DA"</formula>
    </cfRule>
  </conditionalFormatting>
  <conditionalFormatting sqref="D11:D17">
    <cfRule type="expression" dxfId="29" priority="3" stopIfTrue="1">
      <formula>AND(#REF!&lt;9,#REF!&gt;0)</formula>
    </cfRule>
  </conditionalFormatting>
  <conditionalFormatting sqref="D20">
    <cfRule type="expression" dxfId="28" priority="2" stopIfTrue="1">
      <formula>AND(#REF!&lt;9,#REF!&gt;0)</formula>
    </cfRule>
  </conditionalFormatting>
  <conditionalFormatting sqref="D18">
    <cfRule type="expression" dxfId="27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0" bestFit="1" customWidth="1"/>
    <col min="2" max="2" width="2.28515625" style="61" hidden="1" customWidth="1"/>
    <col min="3" max="3" width="5.85546875" style="61" hidden="1" customWidth="1"/>
    <col min="4" max="4" width="5.28515625" style="61" hidden="1" customWidth="1"/>
    <col min="5" max="5" width="4.5703125" style="61" hidden="1" customWidth="1"/>
    <col min="6" max="6" width="3.42578125" style="60" bestFit="1" customWidth="1"/>
    <col min="7" max="7" width="4.7109375" style="62" bestFit="1" customWidth="1"/>
    <col min="8" max="8" width="33" style="61" bestFit="1" customWidth="1"/>
    <col min="9" max="9" width="17.85546875" style="59" hidden="1" customWidth="1"/>
    <col min="10" max="10" width="21.28515625" style="65" bestFit="1" customWidth="1"/>
    <col min="11" max="11" width="1.42578125" style="66" bestFit="1" customWidth="1"/>
    <col min="12" max="12" width="20.7109375" style="65" customWidth="1"/>
    <col min="13" max="13" width="1.42578125" style="76" bestFit="1" customWidth="1"/>
    <col min="14" max="14" width="20.7109375" style="65" customWidth="1"/>
    <col min="15" max="255" width="8.85546875" style="65"/>
    <col min="256" max="256" width="2.42578125" style="65" bestFit="1" customWidth="1"/>
    <col min="257" max="260" width="0" style="65" hidden="1" customWidth="1"/>
    <col min="261" max="261" width="3" style="65" bestFit="1" customWidth="1"/>
    <col min="262" max="262" width="3.42578125" style="65" bestFit="1" customWidth="1"/>
    <col min="263" max="263" width="4.7109375" style="65" bestFit="1" customWidth="1"/>
    <col min="264" max="264" width="24.5703125" style="65" bestFit="1" customWidth="1"/>
    <col min="265" max="265" width="0" style="65" hidden="1" customWidth="1"/>
    <col min="266" max="266" width="22.7109375" style="65" bestFit="1" customWidth="1"/>
    <col min="267" max="267" width="1.42578125" style="65" bestFit="1" customWidth="1"/>
    <col min="268" max="268" width="16" style="65" bestFit="1" customWidth="1"/>
    <col min="269" max="269" width="1.42578125" style="65" bestFit="1" customWidth="1"/>
    <col min="270" max="270" width="12.28515625" style="65" bestFit="1" customWidth="1"/>
    <col min="271" max="511" width="8.85546875" style="65"/>
    <col min="512" max="512" width="2.42578125" style="65" bestFit="1" customWidth="1"/>
    <col min="513" max="516" width="0" style="65" hidden="1" customWidth="1"/>
    <col min="517" max="517" width="3" style="65" bestFit="1" customWidth="1"/>
    <col min="518" max="518" width="3.42578125" style="65" bestFit="1" customWidth="1"/>
    <col min="519" max="519" width="4.7109375" style="65" bestFit="1" customWidth="1"/>
    <col min="520" max="520" width="24.5703125" style="65" bestFit="1" customWidth="1"/>
    <col min="521" max="521" width="0" style="65" hidden="1" customWidth="1"/>
    <col min="522" max="522" width="22.7109375" style="65" bestFit="1" customWidth="1"/>
    <col min="523" max="523" width="1.42578125" style="65" bestFit="1" customWidth="1"/>
    <col min="524" max="524" width="16" style="65" bestFit="1" customWidth="1"/>
    <col min="525" max="525" width="1.42578125" style="65" bestFit="1" customWidth="1"/>
    <col min="526" max="526" width="12.28515625" style="65" bestFit="1" customWidth="1"/>
    <col min="527" max="767" width="8.85546875" style="65"/>
    <col min="768" max="768" width="2.42578125" style="65" bestFit="1" customWidth="1"/>
    <col min="769" max="772" width="0" style="65" hidden="1" customWidth="1"/>
    <col min="773" max="773" width="3" style="65" bestFit="1" customWidth="1"/>
    <col min="774" max="774" width="3.42578125" style="65" bestFit="1" customWidth="1"/>
    <col min="775" max="775" width="4.7109375" style="65" bestFit="1" customWidth="1"/>
    <col min="776" max="776" width="24.5703125" style="65" bestFit="1" customWidth="1"/>
    <col min="777" max="777" width="0" style="65" hidden="1" customWidth="1"/>
    <col min="778" max="778" width="22.7109375" style="65" bestFit="1" customWidth="1"/>
    <col min="779" max="779" width="1.42578125" style="65" bestFit="1" customWidth="1"/>
    <col min="780" max="780" width="16" style="65" bestFit="1" customWidth="1"/>
    <col min="781" max="781" width="1.42578125" style="65" bestFit="1" customWidth="1"/>
    <col min="782" max="782" width="12.28515625" style="65" bestFit="1" customWidth="1"/>
    <col min="783" max="1023" width="8.85546875" style="65"/>
    <col min="1024" max="1024" width="2.42578125" style="65" bestFit="1" customWidth="1"/>
    <col min="1025" max="1028" width="0" style="65" hidden="1" customWidth="1"/>
    <col min="1029" max="1029" width="3" style="65" bestFit="1" customWidth="1"/>
    <col min="1030" max="1030" width="3.42578125" style="65" bestFit="1" customWidth="1"/>
    <col min="1031" max="1031" width="4.7109375" style="65" bestFit="1" customWidth="1"/>
    <col min="1032" max="1032" width="24.5703125" style="65" bestFit="1" customWidth="1"/>
    <col min="1033" max="1033" width="0" style="65" hidden="1" customWidth="1"/>
    <col min="1034" max="1034" width="22.7109375" style="65" bestFit="1" customWidth="1"/>
    <col min="1035" max="1035" width="1.42578125" style="65" bestFit="1" customWidth="1"/>
    <col min="1036" max="1036" width="16" style="65" bestFit="1" customWidth="1"/>
    <col min="1037" max="1037" width="1.42578125" style="65" bestFit="1" customWidth="1"/>
    <col min="1038" max="1038" width="12.28515625" style="65" bestFit="1" customWidth="1"/>
    <col min="1039" max="1279" width="8.85546875" style="65"/>
    <col min="1280" max="1280" width="2.42578125" style="65" bestFit="1" customWidth="1"/>
    <col min="1281" max="1284" width="0" style="65" hidden="1" customWidth="1"/>
    <col min="1285" max="1285" width="3" style="65" bestFit="1" customWidth="1"/>
    <col min="1286" max="1286" width="3.42578125" style="65" bestFit="1" customWidth="1"/>
    <col min="1287" max="1287" width="4.7109375" style="65" bestFit="1" customWidth="1"/>
    <col min="1288" max="1288" width="24.5703125" style="65" bestFit="1" customWidth="1"/>
    <col min="1289" max="1289" width="0" style="65" hidden="1" customWidth="1"/>
    <col min="1290" max="1290" width="22.7109375" style="65" bestFit="1" customWidth="1"/>
    <col min="1291" max="1291" width="1.42578125" style="65" bestFit="1" customWidth="1"/>
    <col min="1292" max="1292" width="16" style="65" bestFit="1" customWidth="1"/>
    <col min="1293" max="1293" width="1.42578125" style="65" bestFit="1" customWidth="1"/>
    <col min="1294" max="1294" width="12.28515625" style="65" bestFit="1" customWidth="1"/>
    <col min="1295" max="1535" width="8.85546875" style="65"/>
    <col min="1536" max="1536" width="2.42578125" style="65" bestFit="1" customWidth="1"/>
    <col min="1537" max="1540" width="0" style="65" hidden="1" customWidth="1"/>
    <col min="1541" max="1541" width="3" style="65" bestFit="1" customWidth="1"/>
    <col min="1542" max="1542" width="3.42578125" style="65" bestFit="1" customWidth="1"/>
    <col min="1543" max="1543" width="4.7109375" style="65" bestFit="1" customWidth="1"/>
    <col min="1544" max="1544" width="24.5703125" style="65" bestFit="1" customWidth="1"/>
    <col min="1545" max="1545" width="0" style="65" hidden="1" customWidth="1"/>
    <col min="1546" max="1546" width="22.7109375" style="65" bestFit="1" customWidth="1"/>
    <col min="1547" max="1547" width="1.42578125" style="65" bestFit="1" customWidth="1"/>
    <col min="1548" max="1548" width="16" style="65" bestFit="1" customWidth="1"/>
    <col min="1549" max="1549" width="1.42578125" style="65" bestFit="1" customWidth="1"/>
    <col min="1550" max="1550" width="12.28515625" style="65" bestFit="1" customWidth="1"/>
    <col min="1551" max="1791" width="8.85546875" style="65"/>
    <col min="1792" max="1792" width="2.42578125" style="65" bestFit="1" customWidth="1"/>
    <col min="1793" max="1796" width="0" style="65" hidden="1" customWidth="1"/>
    <col min="1797" max="1797" width="3" style="65" bestFit="1" customWidth="1"/>
    <col min="1798" max="1798" width="3.42578125" style="65" bestFit="1" customWidth="1"/>
    <col min="1799" max="1799" width="4.7109375" style="65" bestFit="1" customWidth="1"/>
    <col min="1800" max="1800" width="24.5703125" style="65" bestFit="1" customWidth="1"/>
    <col min="1801" max="1801" width="0" style="65" hidden="1" customWidth="1"/>
    <col min="1802" max="1802" width="22.7109375" style="65" bestFit="1" customWidth="1"/>
    <col min="1803" max="1803" width="1.42578125" style="65" bestFit="1" customWidth="1"/>
    <col min="1804" max="1804" width="16" style="65" bestFit="1" customWidth="1"/>
    <col min="1805" max="1805" width="1.42578125" style="65" bestFit="1" customWidth="1"/>
    <col min="1806" max="1806" width="12.28515625" style="65" bestFit="1" customWidth="1"/>
    <col min="1807" max="2047" width="8.85546875" style="65"/>
    <col min="2048" max="2048" width="2.42578125" style="65" bestFit="1" customWidth="1"/>
    <col min="2049" max="2052" width="0" style="65" hidden="1" customWidth="1"/>
    <col min="2053" max="2053" width="3" style="65" bestFit="1" customWidth="1"/>
    <col min="2054" max="2054" width="3.42578125" style="65" bestFit="1" customWidth="1"/>
    <col min="2055" max="2055" width="4.7109375" style="65" bestFit="1" customWidth="1"/>
    <col min="2056" max="2056" width="24.5703125" style="65" bestFit="1" customWidth="1"/>
    <col min="2057" max="2057" width="0" style="65" hidden="1" customWidth="1"/>
    <col min="2058" max="2058" width="22.7109375" style="65" bestFit="1" customWidth="1"/>
    <col min="2059" max="2059" width="1.42578125" style="65" bestFit="1" customWidth="1"/>
    <col min="2060" max="2060" width="16" style="65" bestFit="1" customWidth="1"/>
    <col min="2061" max="2061" width="1.42578125" style="65" bestFit="1" customWidth="1"/>
    <col min="2062" max="2062" width="12.28515625" style="65" bestFit="1" customWidth="1"/>
    <col min="2063" max="2303" width="8.85546875" style="65"/>
    <col min="2304" max="2304" width="2.42578125" style="65" bestFit="1" customWidth="1"/>
    <col min="2305" max="2308" width="0" style="65" hidden="1" customWidth="1"/>
    <col min="2309" max="2309" width="3" style="65" bestFit="1" customWidth="1"/>
    <col min="2310" max="2310" width="3.42578125" style="65" bestFit="1" customWidth="1"/>
    <col min="2311" max="2311" width="4.7109375" style="65" bestFit="1" customWidth="1"/>
    <col min="2312" max="2312" width="24.5703125" style="65" bestFit="1" customWidth="1"/>
    <col min="2313" max="2313" width="0" style="65" hidden="1" customWidth="1"/>
    <col min="2314" max="2314" width="22.7109375" style="65" bestFit="1" customWidth="1"/>
    <col min="2315" max="2315" width="1.42578125" style="65" bestFit="1" customWidth="1"/>
    <col min="2316" max="2316" width="16" style="65" bestFit="1" customWidth="1"/>
    <col min="2317" max="2317" width="1.42578125" style="65" bestFit="1" customWidth="1"/>
    <col min="2318" max="2318" width="12.28515625" style="65" bestFit="1" customWidth="1"/>
    <col min="2319" max="2559" width="8.85546875" style="65"/>
    <col min="2560" max="2560" width="2.42578125" style="65" bestFit="1" customWidth="1"/>
    <col min="2561" max="2564" width="0" style="65" hidden="1" customWidth="1"/>
    <col min="2565" max="2565" width="3" style="65" bestFit="1" customWidth="1"/>
    <col min="2566" max="2566" width="3.42578125" style="65" bestFit="1" customWidth="1"/>
    <col min="2567" max="2567" width="4.7109375" style="65" bestFit="1" customWidth="1"/>
    <col min="2568" max="2568" width="24.5703125" style="65" bestFit="1" customWidth="1"/>
    <col min="2569" max="2569" width="0" style="65" hidden="1" customWidth="1"/>
    <col min="2570" max="2570" width="22.7109375" style="65" bestFit="1" customWidth="1"/>
    <col min="2571" max="2571" width="1.42578125" style="65" bestFit="1" customWidth="1"/>
    <col min="2572" max="2572" width="16" style="65" bestFit="1" customWidth="1"/>
    <col min="2573" max="2573" width="1.42578125" style="65" bestFit="1" customWidth="1"/>
    <col min="2574" max="2574" width="12.28515625" style="65" bestFit="1" customWidth="1"/>
    <col min="2575" max="2815" width="8.85546875" style="65"/>
    <col min="2816" max="2816" width="2.42578125" style="65" bestFit="1" customWidth="1"/>
    <col min="2817" max="2820" width="0" style="65" hidden="1" customWidth="1"/>
    <col min="2821" max="2821" width="3" style="65" bestFit="1" customWidth="1"/>
    <col min="2822" max="2822" width="3.42578125" style="65" bestFit="1" customWidth="1"/>
    <col min="2823" max="2823" width="4.7109375" style="65" bestFit="1" customWidth="1"/>
    <col min="2824" max="2824" width="24.5703125" style="65" bestFit="1" customWidth="1"/>
    <col min="2825" max="2825" width="0" style="65" hidden="1" customWidth="1"/>
    <col min="2826" max="2826" width="22.7109375" style="65" bestFit="1" customWidth="1"/>
    <col min="2827" max="2827" width="1.42578125" style="65" bestFit="1" customWidth="1"/>
    <col min="2828" max="2828" width="16" style="65" bestFit="1" customWidth="1"/>
    <col min="2829" max="2829" width="1.42578125" style="65" bestFit="1" customWidth="1"/>
    <col min="2830" max="2830" width="12.28515625" style="65" bestFit="1" customWidth="1"/>
    <col min="2831" max="3071" width="8.85546875" style="65"/>
    <col min="3072" max="3072" width="2.42578125" style="65" bestFit="1" customWidth="1"/>
    <col min="3073" max="3076" width="0" style="65" hidden="1" customWidth="1"/>
    <col min="3077" max="3077" width="3" style="65" bestFit="1" customWidth="1"/>
    <col min="3078" max="3078" width="3.42578125" style="65" bestFit="1" customWidth="1"/>
    <col min="3079" max="3079" width="4.7109375" style="65" bestFit="1" customWidth="1"/>
    <col min="3080" max="3080" width="24.5703125" style="65" bestFit="1" customWidth="1"/>
    <col min="3081" max="3081" width="0" style="65" hidden="1" customWidth="1"/>
    <col min="3082" max="3082" width="22.7109375" style="65" bestFit="1" customWidth="1"/>
    <col min="3083" max="3083" width="1.42578125" style="65" bestFit="1" customWidth="1"/>
    <col min="3084" max="3084" width="16" style="65" bestFit="1" customWidth="1"/>
    <col min="3085" max="3085" width="1.42578125" style="65" bestFit="1" customWidth="1"/>
    <col min="3086" max="3086" width="12.28515625" style="65" bestFit="1" customWidth="1"/>
    <col min="3087" max="3327" width="8.85546875" style="65"/>
    <col min="3328" max="3328" width="2.42578125" style="65" bestFit="1" customWidth="1"/>
    <col min="3329" max="3332" width="0" style="65" hidden="1" customWidth="1"/>
    <col min="3333" max="3333" width="3" style="65" bestFit="1" customWidth="1"/>
    <col min="3334" max="3334" width="3.42578125" style="65" bestFit="1" customWidth="1"/>
    <col min="3335" max="3335" width="4.7109375" style="65" bestFit="1" customWidth="1"/>
    <col min="3336" max="3336" width="24.5703125" style="65" bestFit="1" customWidth="1"/>
    <col min="3337" max="3337" width="0" style="65" hidden="1" customWidth="1"/>
    <col min="3338" max="3338" width="22.7109375" style="65" bestFit="1" customWidth="1"/>
    <col min="3339" max="3339" width="1.42578125" style="65" bestFit="1" customWidth="1"/>
    <col min="3340" max="3340" width="16" style="65" bestFit="1" customWidth="1"/>
    <col min="3341" max="3341" width="1.42578125" style="65" bestFit="1" customWidth="1"/>
    <col min="3342" max="3342" width="12.28515625" style="65" bestFit="1" customWidth="1"/>
    <col min="3343" max="3583" width="8.85546875" style="65"/>
    <col min="3584" max="3584" width="2.42578125" style="65" bestFit="1" customWidth="1"/>
    <col min="3585" max="3588" width="0" style="65" hidden="1" customWidth="1"/>
    <col min="3589" max="3589" width="3" style="65" bestFit="1" customWidth="1"/>
    <col min="3590" max="3590" width="3.42578125" style="65" bestFit="1" customWidth="1"/>
    <col min="3591" max="3591" width="4.7109375" style="65" bestFit="1" customWidth="1"/>
    <col min="3592" max="3592" width="24.5703125" style="65" bestFit="1" customWidth="1"/>
    <col min="3593" max="3593" width="0" style="65" hidden="1" customWidth="1"/>
    <col min="3594" max="3594" width="22.7109375" style="65" bestFit="1" customWidth="1"/>
    <col min="3595" max="3595" width="1.42578125" style="65" bestFit="1" customWidth="1"/>
    <col min="3596" max="3596" width="16" style="65" bestFit="1" customWidth="1"/>
    <col min="3597" max="3597" width="1.42578125" style="65" bestFit="1" customWidth="1"/>
    <col min="3598" max="3598" width="12.28515625" style="65" bestFit="1" customWidth="1"/>
    <col min="3599" max="3839" width="8.85546875" style="65"/>
    <col min="3840" max="3840" width="2.42578125" style="65" bestFit="1" customWidth="1"/>
    <col min="3841" max="3844" width="0" style="65" hidden="1" customWidth="1"/>
    <col min="3845" max="3845" width="3" style="65" bestFit="1" customWidth="1"/>
    <col min="3846" max="3846" width="3.42578125" style="65" bestFit="1" customWidth="1"/>
    <col min="3847" max="3847" width="4.7109375" style="65" bestFit="1" customWidth="1"/>
    <col min="3848" max="3848" width="24.5703125" style="65" bestFit="1" customWidth="1"/>
    <col min="3849" max="3849" width="0" style="65" hidden="1" customWidth="1"/>
    <col min="3850" max="3850" width="22.7109375" style="65" bestFit="1" customWidth="1"/>
    <col min="3851" max="3851" width="1.42578125" style="65" bestFit="1" customWidth="1"/>
    <col min="3852" max="3852" width="16" style="65" bestFit="1" customWidth="1"/>
    <col min="3853" max="3853" width="1.42578125" style="65" bestFit="1" customWidth="1"/>
    <col min="3854" max="3854" width="12.28515625" style="65" bestFit="1" customWidth="1"/>
    <col min="3855" max="4095" width="8.85546875" style="65"/>
    <col min="4096" max="4096" width="2.42578125" style="65" bestFit="1" customWidth="1"/>
    <col min="4097" max="4100" width="0" style="65" hidden="1" customWidth="1"/>
    <col min="4101" max="4101" width="3" style="65" bestFit="1" customWidth="1"/>
    <col min="4102" max="4102" width="3.42578125" style="65" bestFit="1" customWidth="1"/>
    <col min="4103" max="4103" width="4.7109375" style="65" bestFit="1" customWidth="1"/>
    <col min="4104" max="4104" width="24.5703125" style="65" bestFit="1" customWidth="1"/>
    <col min="4105" max="4105" width="0" style="65" hidden="1" customWidth="1"/>
    <col min="4106" max="4106" width="22.7109375" style="65" bestFit="1" customWidth="1"/>
    <col min="4107" max="4107" width="1.42578125" style="65" bestFit="1" customWidth="1"/>
    <col min="4108" max="4108" width="16" style="65" bestFit="1" customWidth="1"/>
    <col min="4109" max="4109" width="1.42578125" style="65" bestFit="1" customWidth="1"/>
    <col min="4110" max="4110" width="12.28515625" style="65" bestFit="1" customWidth="1"/>
    <col min="4111" max="4351" width="8.85546875" style="65"/>
    <col min="4352" max="4352" width="2.42578125" style="65" bestFit="1" customWidth="1"/>
    <col min="4353" max="4356" width="0" style="65" hidden="1" customWidth="1"/>
    <col min="4357" max="4357" width="3" style="65" bestFit="1" customWidth="1"/>
    <col min="4358" max="4358" width="3.42578125" style="65" bestFit="1" customWidth="1"/>
    <col min="4359" max="4359" width="4.7109375" style="65" bestFit="1" customWidth="1"/>
    <col min="4360" max="4360" width="24.5703125" style="65" bestFit="1" customWidth="1"/>
    <col min="4361" max="4361" width="0" style="65" hidden="1" customWidth="1"/>
    <col min="4362" max="4362" width="22.7109375" style="65" bestFit="1" customWidth="1"/>
    <col min="4363" max="4363" width="1.42578125" style="65" bestFit="1" customWidth="1"/>
    <col min="4364" max="4364" width="16" style="65" bestFit="1" customWidth="1"/>
    <col min="4365" max="4365" width="1.42578125" style="65" bestFit="1" customWidth="1"/>
    <col min="4366" max="4366" width="12.28515625" style="65" bestFit="1" customWidth="1"/>
    <col min="4367" max="4607" width="8.85546875" style="65"/>
    <col min="4608" max="4608" width="2.42578125" style="65" bestFit="1" customWidth="1"/>
    <col min="4609" max="4612" width="0" style="65" hidden="1" customWidth="1"/>
    <col min="4613" max="4613" width="3" style="65" bestFit="1" customWidth="1"/>
    <col min="4614" max="4614" width="3.42578125" style="65" bestFit="1" customWidth="1"/>
    <col min="4615" max="4615" width="4.7109375" style="65" bestFit="1" customWidth="1"/>
    <col min="4616" max="4616" width="24.5703125" style="65" bestFit="1" customWidth="1"/>
    <col min="4617" max="4617" width="0" style="65" hidden="1" customWidth="1"/>
    <col min="4618" max="4618" width="22.7109375" style="65" bestFit="1" customWidth="1"/>
    <col min="4619" max="4619" width="1.42578125" style="65" bestFit="1" customWidth="1"/>
    <col min="4620" max="4620" width="16" style="65" bestFit="1" customWidth="1"/>
    <col min="4621" max="4621" width="1.42578125" style="65" bestFit="1" customWidth="1"/>
    <col min="4622" max="4622" width="12.28515625" style="65" bestFit="1" customWidth="1"/>
    <col min="4623" max="4863" width="8.85546875" style="65"/>
    <col min="4864" max="4864" width="2.42578125" style="65" bestFit="1" customWidth="1"/>
    <col min="4865" max="4868" width="0" style="65" hidden="1" customWidth="1"/>
    <col min="4869" max="4869" width="3" style="65" bestFit="1" customWidth="1"/>
    <col min="4870" max="4870" width="3.42578125" style="65" bestFit="1" customWidth="1"/>
    <col min="4871" max="4871" width="4.7109375" style="65" bestFit="1" customWidth="1"/>
    <col min="4872" max="4872" width="24.5703125" style="65" bestFit="1" customWidth="1"/>
    <col min="4873" max="4873" width="0" style="65" hidden="1" customWidth="1"/>
    <col min="4874" max="4874" width="22.7109375" style="65" bestFit="1" customWidth="1"/>
    <col min="4875" max="4875" width="1.42578125" style="65" bestFit="1" customWidth="1"/>
    <col min="4876" max="4876" width="16" style="65" bestFit="1" customWidth="1"/>
    <col min="4877" max="4877" width="1.42578125" style="65" bestFit="1" customWidth="1"/>
    <col min="4878" max="4878" width="12.28515625" style="65" bestFit="1" customWidth="1"/>
    <col min="4879" max="5119" width="8.85546875" style="65"/>
    <col min="5120" max="5120" width="2.42578125" style="65" bestFit="1" customWidth="1"/>
    <col min="5121" max="5124" width="0" style="65" hidden="1" customWidth="1"/>
    <col min="5125" max="5125" width="3" style="65" bestFit="1" customWidth="1"/>
    <col min="5126" max="5126" width="3.42578125" style="65" bestFit="1" customWidth="1"/>
    <col min="5127" max="5127" width="4.7109375" style="65" bestFit="1" customWidth="1"/>
    <col min="5128" max="5128" width="24.5703125" style="65" bestFit="1" customWidth="1"/>
    <col min="5129" max="5129" width="0" style="65" hidden="1" customWidth="1"/>
    <col min="5130" max="5130" width="22.7109375" style="65" bestFit="1" customWidth="1"/>
    <col min="5131" max="5131" width="1.42578125" style="65" bestFit="1" customWidth="1"/>
    <col min="5132" max="5132" width="16" style="65" bestFit="1" customWidth="1"/>
    <col min="5133" max="5133" width="1.42578125" style="65" bestFit="1" customWidth="1"/>
    <col min="5134" max="5134" width="12.28515625" style="65" bestFit="1" customWidth="1"/>
    <col min="5135" max="5375" width="8.85546875" style="65"/>
    <col min="5376" max="5376" width="2.42578125" style="65" bestFit="1" customWidth="1"/>
    <col min="5377" max="5380" width="0" style="65" hidden="1" customWidth="1"/>
    <col min="5381" max="5381" width="3" style="65" bestFit="1" customWidth="1"/>
    <col min="5382" max="5382" width="3.42578125" style="65" bestFit="1" customWidth="1"/>
    <col min="5383" max="5383" width="4.7109375" style="65" bestFit="1" customWidth="1"/>
    <col min="5384" max="5384" width="24.5703125" style="65" bestFit="1" customWidth="1"/>
    <col min="5385" max="5385" width="0" style="65" hidden="1" customWidth="1"/>
    <col min="5386" max="5386" width="22.7109375" style="65" bestFit="1" customWidth="1"/>
    <col min="5387" max="5387" width="1.42578125" style="65" bestFit="1" customWidth="1"/>
    <col min="5388" max="5388" width="16" style="65" bestFit="1" customWidth="1"/>
    <col min="5389" max="5389" width="1.42578125" style="65" bestFit="1" customWidth="1"/>
    <col min="5390" max="5390" width="12.28515625" style="65" bestFit="1" customWidth="1"/>
    <col min="5391" max="5631" width="8.85546875" style="65"/>
    <col min="5632" max="5632" width="2.42578125" style="65" bestFit="1" customWidth="1"/>
    <col min="5633" max="5636" width="0" style="65" hidden="1" customWidth="1"/>
    <col min="5637" max="5637" width="3" style="65" bestFit="1" customWidth="1"/>
    <col min="5638" max="5638" width="3.42578125" style="65" bestFit="1" customWidth="1"/>
    <col min="5639" max="5639" width="4.7109375" style="65" bestFit="1" customWidth="1"/>
    <col min="5640" max="5640" width="24.5703125" style="65" bestFit="1" customWidth="1"/>
    <col min="5641" max="5641" width="0" style="65" hidden="1" customWidth="1"/>
    <col min="5642" max="5642" width="22.7109375" style="65" bestFit="1" customWidth="1"/>
    <col min="5643" max="5643" width="1.42578125" style="65" bestFit="1" customWidth="1"/>
    <col min="5644" max="5644" width="16" style="65" bestFit="1" customWidth="1"/>
    <col min="5645" max="5645" width="1.42578125" style="65" bestFit="1" customWidth="1"/>
    <col min="5646" max="5646" width="12.28515625" style="65" bestFit="1" customWidth="1"/>
    <col min="5647" max="5887" width="8.85546875" style="65"/>
    <col min="5888" max="5888" width="2.42578125" style="65" bestFit="1" customWidth="1"/>
    <col min="5889" max="5892" width="0" style="65" hidden="1" customWidth="1"/>
    <col min="5893" max="5893" width="3" style="65" bestFit="1" customWidth="1"/>
    <col min="5894" max="5894" width="3.42578125" style="65" bestFit="1" customWidth="1"/>
    <col min="5895" max="5895" width="4.7109375" style="65" bestFit="1" customWidth="1"/>
    <col min="5896" max="5896" width="24.5703125" style="65" bestFit="1" customWidth="1"/>
    <col min="5897" max="5897" width="0" style="65" hidden="1" customWidth="1"/>
    <col min="5898" max="5898" width="22.7109375" style="65" bestFit="1" customWidth="1"/>
    <col min="5899" max="5899" width="1.42578125" style="65" bestFit="1" customWidth="1"/>
    <col min="5900" max="5900" width="16" style="65" bestFit="1" customWidth="1"/>
    <col min="5901" max="5901" width="1.42578125" style="65" bestFit="1" customWidth="1"/>
    <col min="5902" max="5902" width="12.28515625" style="65" bestFit="1" customWidth="1"/>
    <col min="5903" max="6143" width="8.85546875" style="65"/>
    <col min="6144" max="6144" width="2.42578125" style="65" bestFit="1" customWidth="1"/>
    <col min="6145" max="6148" width="0" style="65" hidden="1" customWidth="1"/>
    <col min="6149" max="6149" width="3" style="65" bestFit="1" customWidth="1"/>
    <col min="6150" max="6150" width="3.42578125" style="65" bestFit="1" customWidth="1"/>
    <col min="6151" max="6151" width="4.7109375" style="65" bestFit="1" customWidth="1"/>
    <col min="6152" max="6152" width="24.5703125" style="65" bestFit="1" customWidth="1"/>
    <col min="6153" max="6153" width="0" style="65" hidden="1" customWidth="1"/>
    <col min="6154" max="6154" width="22.7109375" style="65" bestFit="1" customWidth="1"/>
    <col min="6155" max="6155" width="1.42578125" style="65" bestFit="1" customWidth="1"/>
    <col min="6156" max="6156" width="16" style="65" bestFit="1" customWidth="1"/>
    <col min="6157" max="6157" width="1.42578125" style="65" bestFit="1" customWidth="1"/>
    <col min="6158" max="6158" width="12.28515625" style="65" bestFit="1" customWidth="1"/>
    <col min="6159" max="6399" width="8.85546875" style="65"/>
    <col min="6400" max="6400" width="2.42578125" style="65" bestFit="1" customWidth="1"/>
    <col min="6401" max="6404" width="0" style="65" hidden="1" customWidth="1"/>
    <col min="6405" max="6405" width="3" style="65" bestFit="1" customWidth="1"/>
    <col min="6406" max="6406" width="3.42578125" style="65" bestFit="1" customWidth="1"/>
    <col min="6407" max="6407" width="4.7109375" style="65" bestFit="1" customWidth="1"/>
    <col min="6408" max="6408" width="24.5703125" style="65" bestFit="1" customWidth="1"/>
    <col min="6409" max="6409" width="0" style="65" hidden="1" customWidth="1"/>
    <col min="6410" max="6410" width="22.7109375" style="65" bestFit="1" customWidth="1"/>
    <col min="6411" max="6411" width="1.42578125" style="65" bestFit="1" customWidth="1"/>
    <col min="6412" max="6412" width="16" style="65" bestFit="1" customWidth="1"/>
    <col min="6413" max="6413" width="1.42578125" style="65" bestFit="1" customWidth="1"/>
    <col min="6414" max="6414" width="12.28515625" style="65" bestFit="1" customWidth="1"/>
    <col min="6415" max="6655" width="8.85546875" style="65"/>
    <col min="6656" max="6656" width="2.42578125" style="65" bestFit="1" customWidth="1"/>
    <col min="6657" max="6660" width="0" style="65" hidden="1" customWidth="1"/>
    <col min="6661" max="6661" width="3" style="65" bestFit="1" customWidth="1"/>
    <col min="6662" max="6662" width="3.42578125" style="65" bestFit="1" customWidth="1"/>
    <col min="6663" max="6663" width="4.7109375" style="65" bestFit="1" customWidth="1"/>
    <col min="6664" max="6664" width="24.5703125" style="65" bestFit="1" customWidth="1"/>
    <col min="6665" max="6665" width="0" style="65" hidden="1" customWidth="1"/>
    <col min="6666" max="6666" width="22.7109375" style="65" bestFit="1" customWidth="1"/>
    <col min="6667" max="6667" width="1.42578125" style="65" bestFit="1" customWidth="1"/>
    <col min="6668" max="6668" width="16" style="65" bestFit="1" customWidth="1"/>
    <col min="6669" max="6669" width="1.42578125" style="65" bestFit="1" customWidth="1"/>
    <col min="6670" max="6670" width="12.28515625" style="65" bestFit="1" customWidth="1"/>
    <col min="6671" max="6911" width="8.85546875" style="65"/>
    <col min="6912" max="6912" width="2.42578125" style="65" bestFit="1" customWidth="1"/>
    <col min="6913" max="6916" width="0" style="65" hidden="1" customWidth="1"/>
    <col min="6917" max="6917" width="3" style="65" bestFit="1" customWidth="1"/>
    <col min="6918" max="6918" width="3.42578125" style="65" bestFit="1" customWidth="1"/>
    <col min="6919" max="6919" width="4.7109375" style="65" bestFit="1" customWidth="1"/>
    <col min="6920" max="6920" width="24.5703125" style="65" bestFit="1" customWidth="1"/>
    <col min="6921" max="6921" width="0" style="65" hidden="1" customWidth="1"/>
    <col min="6922" max="6922" width="22.7109375" style="65" bestFit="1" customWidth="1"/>
    <col min="6923" max="6923" width="1.42578125" style="65" bestFit="1" customWidth="1"/>
    <col min="6924" max="6924" width="16" style="65" bestFit="1" customWidth="1"/>
    <col min="6925" max="6925" width="1.42578125" style="65" bestFit="1" customWidth="1"/>
    <col min="6926" max="6926" width="12.28515625" style="65" bestFit="1" customWidth="1"/>
    <col min="6927" max="7167" width="8.85546875" style="65"/>
    <col min="7168" max="7168" width="2.42578125" style="65" bestFit="1" customWidth="1"/>
    <col min="7169" max="7172" width="0" style="65" hidden="1" customWidth="1"/>
    <col min="7173" max="7173" width="3" style="65" bestFit="1" customWidth="1"/>
    <col min="7174" max="7174" width="3.42578125" style="65" bestFit="1" customWidth="1"/>
    <col min="7175" max="7175" width="4.7109375" style="65" bestFit="1" customWidth="1"/>
    <col min="7176" max="7176" width="24.5703125" style="65" bestFit="1" customWidth="1"/>
    <col min="7177" max="7177" width="0" style="65" hidden="1" customWidth="1"/>
    <col min="7178" max="7178" width="22.7109375" style="65" bestFit="1" customWidth="1"/>
    <col min="7179" max="7179" width="1.42578125" style="65" bestFit="1" customWidth="1"/>
    <col min="7180" max="7180" width="16" style="65" bestFit="1" customWidth="1"/>
    <col min="7181" max="7181" width="1.42578125" style="65" bestFit="1" customWidth="1"/>
    <col min="7182" max="7182" width="12.28515625" style="65" bestFit="1" customWidth="1"/>
    <col min="7183" max="7423" width="8.85546875" style="65"/>
    <col min="7424" max="7424" width="2.42578125" style="65" bestFit="1" customWidth="1"/>
    <col min="7425" max="7428" width="0" style="65" hidden="1" customWidth="1"/>
    <col min="7429" max="7429" width="3" style="65" bestFit="1" customWidth="1"/>
    <col min="7430" max="7430" width="3.42578125" style="65" bestFit="1" customWidth="1"/>
    <col min="7431" max="7431" width="4.7109375" style="65" bestFit="1" customWidth="1"/>
    <col min="7432" max="7432" width="24.5703125" style="65" bestFit="1" customWidth="1"/>
    <col min="7433" max="7433" width="0" style="65" hidden="1" customWidth="1"/>
    <col min="7434" max="7434" width="22.7109375" style="65" bestFit="1" customWidth="1"/>
    <col min="7435" max="7435" width="1.42578125" style="65" bestFit="1" customWidth="1"/>
    <col min="7436" max="7436" width="16" style="65" bestFit="1" customWidth="1"/>
    <col min="7437" max="7437" width="1.42578125" style="65" bestFit="1" customWidth="1"/>
    <col min="7438" max="7438" width="12.28515625" style="65" bestFit="1" customWidth="1"/>
    <col min="7439" max="7679" width="8.85546875" style="65"/>
    <col min="7680" max="7680" width="2.42578125" style="65" bestFit="1" customWidth="1"/>
    <col min="7681" max="7684" width="0" style="65" hidden="1" customWidth="1"/>
    <col min="7685" max="7685" width="3" style="65" bestFit="1" customWidth="1"/>
    <col min="7686" max="7686" width="3.42578125" style="65" bestFit="1" customWidth="1"/>
    <col min="7687" max="7687" width="4.7109375" style="65" bestFit="1" customWidth="1"/>
    <col min="7688" max="7688" width="24.5703125" style="65" bestFit="1" customWidth="1"/>
    <col min="7689" max="7689" width="0" style="65" hidden="1" customWidth="1"/>
    <col min="7690" max="7690" width="22.7109375" style="65" bestFit="1" customWidth="1"/>
    <col min="7691" max="7691" width="1.42578125" style="65" bestFit="1" customWidth="1"/>
    <col min="7692" max="7692" width="16" style="65" bestFit="1" customWidth="1"/>
    <col min="7693" max="7693" width="1.42578125" style="65" bestFit="1" customWidth="1"/>
    <col min="7694" max="7694" width="12.28515625" style="65" bestFit="1" customWidth="1"/>
    <col min="7695" max="7935" width="8.85546875" style="65"/>
    <col min="7936" max="7936" width="2.42578125" style="65" bestFit="1" customWidth="1"/>
    <col min="7937" max="7940" width="0" style="65" hidden="1" customWidth="1"/>
    <col min="7941" max="7941" width="3" style="65" bestFit="1" customWidth="1"/>
    <col min="7942" max="7942" width="3.42578125" style="65" bestFit="1" customWidth="1"/>
    <col min="7943" max="7943" width="4.7109375" style="65" bestFit="1" customWidth="1"/>
    <col min="7944" max="7944" width="24.5703125" style="65" bestFit="1" customWidth="1"/>
    <col min="7945" max="7945" width="0" style="65" hidden="1" customWidth="1"/>
    <col min="7946" max="7946" width="22.7109375" style="65" bestFit="1" customWidth="1"/>
    <col min="7947" max="7947" width="1.42578125" style="65" bestFit="1" customWidth="1"/>
    <col min="7948" max="7948" width="16" style="65" bestFit="1" customWidth="1"/>
    <col min="7949" max="7949" width="1.42578125" style="65" bestFit="1" customWidth="1"/>
    <col min="7950" max="7950" width="12.28515625" style="65" bestFit="1" customWidth="1"/>
    <col min="7951" max="8191" width="8.85546875" style="65"/>
    <col min="8192" max="8192" width="2.42578125" style="65" bestFit="1" customWidth="1"/>
    <col min="8193" max="8196" width="0" style="65" hidden="1" customWidth="1"/>
    <col min="8197" max="8197" width="3" style="65" bestFit="1" customWidth="1"/>
    <col min="8198" max="8198" width="3.42578125" style="65" bestFit="1" customWidth="1"/>
    <col min="8199" max="8199" width="4.7109375" style="65" bestFit="1" customWidth="1"/>
    <col min="8200" max="8200" width="24.5703125" style="65" bestFit="1" customWidth="1"/>
    <col min="8201" max="8201" width="0" style="65" hidden="1" customWidth="1"/>
    <col min="8202" max="8202" width="22.7109375" style="65" bestFit="1" customWidth="1"/>
    <col min="8203" max="8203" width="1.42578125" style="65" bestFit="1" customWidth="1"/>
    <col min="8204" max="8204" width="16" style="65" bestFit="1" customWidth="1"/>
    <col min="8205" max="8205" width="1.42578125" style="65" bestFit="1" customWidth="1"/>
    <col min="8206" max="8206" width="12.28515625" style="65" bestFit="1" customWidth="1"/>
    <col min="8207" max="8447" width="8.85546875" style="65"/>
    <col min="8448" max="8448" width="2.42578125" style="65" bestFit="1" customWidth="1"/>
    <col min="8449" max="8452" width="0" style="65" hidden="1" customWidth="1"/>
    <col min="8453" max="8453" width="3" style="65" bestFit="1" customWidth="1"/>
    <col min="8454" max="8454" width="3.42578125" style="65" bestFit="1" customWidth="1"/>
    <col min="8455" max="8455" width="4.7109375" style="65" bestFit="1" customWidth="1"/>
    <col min="8456" max="8456" width="24.5703125" style="65" bestFit="1" customWidth="1"/>
    <col min="8457" max="8457" width="0" style="65" hidden="1" customWidth="1"/>
    <col min="8458" max="8458" width="22.7109375" style="65" bestFit="1" customWidth="1"/>
    <col min="8459" max="8459" width="1.42578125" style="65" bestFit="1" customWidth="1"/>
    <col min="8460" max="8460" width="16" style="65" bestFit="1" customWidth="1"/>
    <col min="8461" max="8461" width="1.42578125" style="65" bestFit="1" customWidth="1"/>
    <col min="8462" max="8462" width="12.28515625" style="65" bestFit="1" customWidth="1"/>
    <col min="8463" max="8703" width="8.85546875" style="65"/>
    <col min="8704" max="8704" width="2.42578125" style="65" bestFit="1" customWidth="1"/>
    <col min="8705" max="8708" width="0" style="65" hidden="1" customWidth="1"/>
    <col min="8709" max="8709" width="3" style="65" bestFit="1" customWidth="1"/>
    <col min="8710" max="8710" width="3.42578125" style="65" bestFit="1" customWidth="1"/>
    <col min="8711" max="8711" width="4.7109375" style="65" bestFit="1" customWidth="1"/>
    <col min="8712" max="8712" width="24.5703125" style="65" bestFit="1" customWidth="1"/>
    <col min="8713" max="8713" width="0" style="65" hidden="1" customWidth="1"/>
    <col min="8714" max="8714" width="22.7109375" style="65" bestFit="1" customWidth="1"/>
    <col min="8715" max="8715" width="1.42578125" style="65" bestFit="1" customWidth="1"/>
    <col min="8716" max="8716" width="16" style="65" bestFit="1" customWidth="1"/>
    <col min="8717" max="8717" width="1.42578125" style="65" bestFit="1" customWidth="1"/>
    <col min="8718" max="8718" width="12.28515625" style="65" bestFit="1" customWidth="1"/>
    <col min="8719" max="8959" width="8.85546875" style="65"/>
    <col min="8960" max="8960" width="2.42578125" style="65" bestFit="1" customWidth="1"/>
    <col min="8961" max="8964" width="0" style="65" hidden="1" customWidth="1"/>
    <col min="8965" max="8965" width="3" style="65" bestFit="1" customWidth="1"/>
    <col min="8966" max="8966" width="3.42578125" style="65" bestFit="1" customWidth="1"/>
    <col min="8967" max="8967" width="4.7109375" style="65" bestFit="1" customWidth="1"/>
    <col min="8968" max="8968" width="24.5703125" style="65" bestFit="1" customWidth="1"/>
    <col min="8969" max="8969" width="0" style="65" hidden="1" customWidth="1"/>
    <col min="8970" max="8970" width="22.7109375" style="65" bestFit="1" customWidth="1"/>
    <col min="8971" max="8971" width="1.42578125" style="65" bestFit="1" customWidth="1"/>
    <col min="8972" max="8972" width="16" style="65" bestFit="1" customWidth="1"/>
    <col min="8973" max="8973" width="1.42578125" style="65" bestFit="1" customWidth="1"/>
    <col min="8974" max="8974" width="12.28515625" style="65" bestFit="1" customWidth="1"/>
    <col min="8975" max="9215" width="8.85546875" style="65"/>
    <col min="9216" max="9216" width="2.42578125" style="65" bestFit="1" customWidth="1"/>
    <col min="9217" max="9220" width="0" style="65" hidden="1" customWidth="1"/>
    <col min="9221" max="9221" width="3" style="65" bestFit="1" customWidth="1"/>
    <col min="9222" max="9222" width="3.42578125" style="65" bestFit="1" customWidth="1"/>
    <col min="9223" max="9223" width="4.7109375" style="65" bestFit="1" customWidth="1"/>
    <col min="9224" max="9224" width="24.5703125" style="65" bestFit="1" customWidth="1"/>
    <col min="9225" max="9225" width="0" style="65" hidden="1" customWidth="1"/>
    <col min="9226" max="9226" width="22.7109375" style="65" bestFit="1" customWidth="1"/>
    <col min="9227" max="9227" width="1.42578125" style="65" bestFit="1" customWidth="1"/>
    <col min="9228" max="9228" width="16" style="65" bestFit="1" customWidth="1"/>
    <col min="9229" max="9229" width="1.42578125" style="65" bestFit="1" customWidth="1"/>
    <col min="9230" max="9230" width="12.28515625" style="65" bestFit="1" customWidth="1"/>
    <col min="9231" max="9471" width="8.85546875" style="65"/>
    <col min="9472" max="9472" width="2.42578125" style="65" bestFit="1" customWidth="1"/>
    <col min="9473" max="9476" width="0" style="65" hidden="1" customWidth="1"/>
    <col min="9477" max="9477" width="3" style="65" bestFit="1" customWidth="1"/>
    <col min="9478" max="9478" width="3.42578125" style="65" bestFit="1" customWidth="1"/>
    <col min="9479" max="9479" width="4.7109375" style="65" bestFit="1" customWidth="1"/>
    <col min="9480" max="9480" width="24.5703125" style="65" bestFit="1" customWidth="1"/>
    <col min="9481" max="9481" width="0" style="65" hidden="1" customWidth="1"/>
    <col min="9482" max="9482" width="22.7109375" style="65" bestFit="1" customWidth="1"/>
    <col min="9483" max="9483" width="1.42578125" style="65" bestFit="1" customWidth="1"/>
    <col min="9484" max="9484" width="16" style="65" bestFit="1" customWidth="1"/>
    <col min="9485" max="9485" width="1.42578125" style="65" bestFit="1" customWidth="1"/>
    <col min="9486" max="9486" width="12.28515625" style="65" bestFit="1" customWidth="1"/>
    <col min="9487" max="9727" width="8.85546875" style="65"/>
    <col min="9728" max="9728" width="2.42578125" style="65" bestFit="1" customWidth="1"/>
    <col min="9729" max="9732" width="0" style="65" hidden="1" customWidth="1"/>
    <col min="9733" max="9733" width="3" style="65" bestFit="1" customWidth="1"/>
    <col min="9734" max="9734" width="3.42578125" style="65" bestFit="1" customWidth="1"/>
    <col min="9735" max="9735" width="4.7109375" style="65" bestFit="1" customWidth="1"/>
    <col min="9736" max="9736" width="24.5703125" style="65" bestFit="1" customWidth="1"/>
    <col min="9737" max="9737" width="0" style="65" hidden="1" customWidth="1"/>
    <col min="9738" max="9738" width="22.7109375" style="65" bestFit="1" customWidth="1"/>
    <col min="9739" max="9739" width="1.42578125" style="65" bestFit="1" customWidth="1"/>
    <col min="9740" max="9740" width="16" style="65" bestFit="1" customWidth="1"/>
    <col min="9741" max="9741" width="1.42578125" style="65" bestFit="1" customWidth="1"/>
    <col min="9742" max="9742" width="12.28515625" style="65" bestFit="1" customWidth="1"/>
    <col min="9743" max="9983" width="8.85546875" style="65"/>
    <col min="9984" max="9984" width="2.42578125" style="65" bestFit="1" customWidth="1"/>
    <col min="9985" max="9988" width="0" style="65" hidden="1" customWidth="1"/>
    <col min="9989" max="9989" width="3" style="65" bestFit="1" customWidth="1"/>
    <col min="9990" max="9990" width="3.42578125" style="65" bestFit="1" customWidth="1"/>
    <col min="9991" max="9991" width="4.7109375" style="65" bestFit="1" customWidth="1"/>
    <col min="9992" max="9992" width="24.5703125" style="65" bestFit="1" customWidth="1"/>
    <col min="9993" max="9993" width="0" style="65" hidden="1" customWidth="1"/>
    <col min="9994" max="9994" width="22.7109375" style="65" bestFit="1" customWidth="1"/>
    <col min="9995" max="9995" width="1.42578125" style="65" bestFit="1" customWidth="1"/>
    <col min="9996" max="9996" width="16" style="65" bestFit="1" customWidth="1"/>
    <col min="9997" max="9997" width="1.42578125" style="65" bestFit="1" customWidth="1"/>
    <col min="9998" max="9998" width="12.28515625" style="65" bestFit="1" customWidth="1"/>
    <col min="9999" max="10239" width="8.85546875" style="65"/>
    <col min="10240" max="10240" width="2.42578125" style="65" bestFit="1" customWidth="1"/>
    <col min="10241" max="10244" width="0" style="65" hidden="1" customWidth="1"/>
    <col min="10245" max="10245" width="3" style="65" bestFit="1" customWidth="1"/>
    <col min="10246" max="10246" width="3.42578125" style="65" bestFit="1" customWidth="1"/>
    <col min="10247" max="10247" width="4.7109375" style="65" bestFit="1" customWidth="1"/>
    <col min="10248" max="10248" width="24.5703125" style="65" bestFit="1" customWidth="1"/>
    <col min="10249" max="10249" width="0" style="65" hidden="1" customWidth="1"/>
    <col min="10250" max="10250" width="22.7109375" style="65" bestFit="1" customWidth="1"/>
    <col min="10251" max="10251" width="1.42578125" style="65" bestFit="1" customWidth="1"/>
    <col min="10252" max="10252" width="16" style="65" bestFit="1" customWidth="1"/>
    <col min="10253" max="10253" width="1.42578125" style="65" bestFit="1" customWidth="1"/>
    <col min="10254" max="10254" width="12.28515625" style="65" bestFit="1" customWidth="1"/>
    <col min="10255" max="10495" width="8.85546875" style="65"/>
    <col min="10496" max="10496" width="2.42578125" style="65" bestFit="1" customWidth="1"/>
    <col min="10497" max="10500" width="0" style="65" hidden="1" customWidth="1"/>
    <col min="10501" max="10501" width="3" style="65" bestFit="1" customWidth="1"/>
    <col min="10502" max="10502" width="3.42578125" style="65" bestFit="1" customWidth="1"/>
    <col min="10503" max="10503" width="4.7109375" style="65" bestFit="1" customWidth="1"/>
    <col min="10504" max="10504" width="24.5703125" style="65" bestFit="1" customWidth="1"/>
    <col min="10505" max="10505" width="0" style="65" hidden="1" customWidth="1"/>
    <col min="10506" max="10506" width="22.7109375" style="65" bestFit="1" customWidth="1"/>
    <col min="10507" max="10507" width="1.42578125" style="65" bestFit="1" customWidth="1"/>
    <col min="10508" max="10508" width="16" style="65" bestFit="1" customWidth="1"/>
    <col min="10509" max="10509" width="1.42578125" style="65" bestFit="1" customWidth="1"/>
    <col min="10510" max="10510" width="12.28515625" style="65" bestFit="1" customWidth="1"/>
    <col min="10511" max="10751" width="8.85546875" style="65"/>
    <col min="10752" max="10752" width="2.42578125" style="65" bestFit="1" customWidth="1"/>
    <col min="10753" max="10756" width="0" style="65" hidden="1" customWidth="1"/>
    <col min="10757" max="10757" width="3" style="65" bestFit="1" customWidth="1"/>
    <col min="10758" max="10758" width="3.42578125" style="65" bestFit="1" customWidth="1"/>
    <col min="10759" max="10759" width="4.7109375" style="65" bestFit="1" customWidth="1"/>
    <col min="10760" max="10760" width="24.5703125" style="65" bestFit="1" customWidth="1"/>
    <col min="10761" max="10761" width="0" style="65" hidden="1" customWidth="1"/>
    <col min="10762" max="10762" width="22.7109375" style="65" bestFit="1" customWidth="1"/>
    <col min="10763" max="10763" width="1.42578125" style="65" bestFit="1" customWidth="1"/>
    <col min="10764" max="10764" width="16" style="65" bestFit="1" customWidth="1"/>
    <col min="10765" max="10765" width="1.42578125" style="65" bestFit="1" customWidth="1"/>
    <col min="10766" max="10766" width="12.28515625" style="65" bestFit="1" customWidth="1"/>
    <col min="10767" max="11007" width="8.85546875" style="65"/>
    <col min="11008" max="11008" width="2.42578125" style="65" bestFit="1" customWidth="1"/>
    <col min="11009" max="11012" width="0" style="65" hidden="1" customWidth="1"/>
    <col min="11013" max="11013" width="3" style="65" bestFit="1" customWidth="1"/>
    <col min="11014" max="11014" width="3.42578125" style="65" bestFit="1" customWidth="1"/>
    <col min="11015" max="11015" width="4.7109375" style="65" bestFit="1" customWidth="1"/>
    <col min="11016" max="11016" width="24.5703125" style="65" bestFit="1" customWidth="1"/>
    <col min="11017" max="11017" width="0" style="65" hidden="1" customWidth="1"/>
    <col min="11018" max="11018" width="22.7109375" style="65" bestFit="1" customWidth="1"/>
    <col min="11019" max="11019" width="1.42578125" style="65" bestFit="1" customWidth="1"/>
    <col min="11020" max="11020" width="16" style="65" bestFit="1" customWidth="1"/>
    <col min="11021" max="11021" width="1.42578125" style="65" bestFit="1" customWidth="1"/>
    <col min="11022" max="11022" width="12.28515625" style="65" bestFit="1" customWidth="1"/>
    <col min="11023" max="11263" width="8.85546875" style="65"/>
    <col min="11264" max="11264" width="2.42578125" style="65" bestFit="1" customWidth="1"/>
    <col min="11265" max="11268" width="0" style="65" hidden="1" customWidth="1"/>
    <col min="11269" max="11269" width="3" style="65" bestFit="1" customWidth="1"/>
    <col min="11270" max="11270" width="3.42578125" style="65" bestFit="1" customWidth="1"/>
    <col min="11271" max="11271" width="4.7109375" style="65" bestFit="1" customWidth="1"/>
    <col min="11272" max="11272" width="24.5703125" style="65" bestFit="1" customWidth="1"/>
    <col min="11273" max="11273" width="0" style="65" hidden="1" customWidth="1"/>
    <col min="11274" max="11274" width="22.7109375" style="65" bestFit="1" customWidth="1"/>
    <col min="11275" max="11275" width="1.42578125" style="65" bestFit="1" customWidth="1"/>
    <col min="11276" max="11276" width="16" style="65" bestFit="1" customWidth="1"/>
    <col min="11277" max="11277" width="1.42578125" style="65" bestFit="1" customWidth="1"/>
    <col min="11278" max="11278" width="12.28515625" style="65" bestFit="1" customWidth="1"/>
    <col min="11279" max="11519" width="8.85546875" style="65"/>
    <col min="11520" max="11520" width="2.42578125" style="65" bestFit="1" customWidth="1"/>
    <col min="11521" max="11524" width="0" style="65" hidden="1" customWidth="1"/>
    <col min="11525" max="11525" width="3" style="65" bestFit="1" customWidth="1"/>
    <col min="11526" max="11526" width="3.42578125" style="65" bestFit="1" customWidth="1"/>
    <col min="11527" max="11527" width="4.7109375" style="65" bestFit="1" customWidth="1"/>
    <col min="11528" max="11528" width="24.5703125" style="65" bestFit="1" customWidth="1"/>
    <col min="11529" max="11529" width="0" style="65" hidden="1" customWidth="1"/>
    <col min="11530" max="11530" width="22.7109375" style="65" bestFit="1" customWidth="1"/>
    <col min="11531" max="11531" width="1.42578125" style="65" bestFit="1" customWidth="1"/>
    <col min="11532" max="11532" width="16" style="65" bestFit="1" customWidth="1"/>
    <col min="11533" max="11533" width="1.42578125" style="65" bestFit="1" customWidth="1"/>
    <col min="11534" max="11534" width="12.28515625" style="65" bestFit="1" customWidth="1"/>
    <col min="11535" max="11775" width="8.85546875" style="65"/>
    <col min="11776" max="11776" width="2.42578125" style="65" bestFit="1" customWidth="1"/>
    <col min="11777" max="11780" width="0" style="65" hidden="1" customWidth="1"/>
    <col min="11781" max="11781" width="3" style="65" bestFit="1" customWidth="1"/>
    <col min="11782" max="11782" width="3.42578125" style="65" bestFit="1" customWidth="1"/>
    <col min="11783" max="11783" width="4.7109375" style="65" bestFit="1" customWidth="1"/>
    <col min="11784" max="11784" width="24.5703125" style="65" bestFit="1" customWidth="1"/>
    <col min="11785" max="11785" width="0" style="65" hidden="1" customWidth="1"/>
    <col min="11786" max="11786" width="22.7109375" style="65" bestFit="1" customWidth="1"/>
    <col min="11787" max="11787" width="1.42578125" style="65" bestFit="1" customWidth="1"/>
    <col min="11788" max="11788" width="16" style="65" bestFit="1" customWidth="1"/>
    <col min="11789" max="11789" width="1.42578125" style="65" bestFit="1" customWidth="1"/>
    <col min="11790" max="11790" width="12.28515625" style="65" bestFit="1" customWidth="1"/>
    <col min="11791" max="12031" width="8.85546875" style="65"/>
    <col min="12032" max="12032" width="2.42578125" style="65" bestFit="1" customWidth="1"/>
    <col min="12033" max="12036" width="0" style="65" hidden="1" customWidth="1"/>
    <col min="12037" max="12037" width="3" style="65" bestFit="1" customWidth="1"/>
    <col min="12038" max="12038" width="3.42578125" style="65" bestFit="1" customWidth="1"/>
    <col min="12039" max="12039" width="4.7109375" style="65" bestFit="1" customWidth="1"/>
    <col min="12040" max="12040" width="24.5703125" style="65" bestFit="1" customWidth="1"/>
    <col min="12041" max="12041" width="0" style="65" hidden="1" customWidth="1"/>
    <col min="12042" max="12042" width="22.7109375" style="65" bestFit="1" customWidth="1"/>
    <col min="12043" max="12043" width="1.42578125" style="65" bestFit="1" customWidth="1"/>
    <col min="12044" max="12044" width="16" style="65" bestFit="1" customWidth="1"/>
    <col min="12045" max="12045" width="1.42578125" style="65" bestFit="1" customWidth="1"/>
    <col min="12046" max="12046" width="12.28515625" style="65" bestFit="1" customWidth="1"/>
    <col min="12047" max="12287" width="8.85546875" style="65"/>
    <col min="12288" max="12288" width="2.42578125" style="65" bestFit="1" customWidth="1"/>
    <col min="12289" max="12292" width="0" style="65" hidden="1" customWidth="1"/>
    <col min="12293" max="12293" width="3" style="65" bestFit="1" customWidth="1"/>
    <col min="12294" max="12294" width="3.42578125" style="65" bestFit="1" customWidth="1"/>
    <col min="12295" max="12295" width="4.7109375" style="65" bestFit="1" customWidth="1"/>
    <col min="12296" max="12296" width="24.5703125" style="65" bestFit="1" customWidth="1"/>
    <col min="12297" max="12297" width="0" style="65" hidden="1" customWidth="1"/>
    <col min="12298" max="12298" width="22.7109375" style="65" bestFit="1" customWidth="1"/>
    <col min="12299" max="12299" width="1.42578125" style="65" bestFit="1" customWidth="1"/>
    <col min="12300" max="12300" width="16" style="65" bestFit="1" customWidth="1"/>
    <col min="12301" max="12301" width="1.42578125" style="65" bestFit="1" customWidth="1"/>
    <col min="12302" max="12302" width="12.28515625" style="65" bestFit="1" customWidth="1"/>
    <col min="12303" max="12543" width="8.85546875" style="65"/>
    <col min="12544" max="12544" width="2.42578125" style="65" bestFit="1" customWidth="1"/>
    <col min="12545" max="12548" width="0" style="65" hidden="1" customWidth="1"/>
    <col min="12549" max="12549" width="3" style="65" bestFit="1" customWidth="1"/>
    <col min="12550" max="12550" width="3.42578125" style="65" bestFit="1" customWidth="1"/>
    <col min="12551" max="12551" width="4.7109375" style="65" bestFit="1" customWidth="1"/>
    <col min="12552" max="12552" width="24.5703125" style="65" bestFit="1" customWidth="1"/>
    <col min="12553" max="12553" width="0" style="65" hidden="1" customWidth="1"/>
    <col min="12554" max="12554" width="22.7109375" style="65" bestFit="1" customWidth="1"/>
    <col min="12555" max="12555" width="1.42578125" style="65" bestFit="1" customWidth="1"/>
    <col min="12556" max="12556" width="16" style="65" bestFit="1" customWidth="1"/>
    <col min="12557" max="12557" width="1.42578125" style="65" bestFit="1" customWidth="1"/>
    <col min="12558" max="12558" width="12.28515625" style="65" bestFit="1" customWidth="1"/>
    <col min="12559" max="12799" width="8.85546875" style="65"/>
    <col min="12800" max="12800" width="2.42578125" style="65" bestFit="1" customWidth="1"/>
    <col min="12801" max="12804" width="0" style="65" hidden="1" customWidth="1"/>
    <col min="12805" max="12805" width="3" style="65" bestFit="1" customWidth="1"/>
    <col min="12806" max="12806" width="3.42578125" style="65" bestFit="1" customWidth="1"/>
    <col min="12807" max="12807" width="4.7109375" style="65" bestFit="1" customWidth="1"/>
    <col min="12808" max="12808" width="24.5703125" style="65" bestFit="1" customWidth="1"/>
    <col min="12809" max="12809" width="0" style="65" hidden="1" customWidth="1"/>
    <col min="12810" max="12810" width="22.7109375" style="65" bestFit="1" customWidth="1"/>
    <col min="12811" max="12811" width="1.42578125" style="65" bestFit="1" customWidth="1"/>
    <col min="12812" max="12812" width="16" style="65" bestFit="1" customWidth="1"/>
    <col min="12813" max="12813" width="1.42578125" style="65" bestFit="1" customWidth="1"/>
    <col min="12814" max="12814" width="12.28515625" style="65" bestFit="1" customWidth="1"/>
    <col min="12815" max="13055" width="8.85546875" style="65"/>
    <col min="13056" max="13056" width="2.42578125" style="65" bestFit="1" customWidth="1"/>
    <col min="13057" max="13060" width="0" style="65" hidden="1" customWidth="1"/>
    <col min="13061" max="13061" width="3" style="65" bestFit="1" customWidth="1"/>
    <col min="13062" max="13062" width="3.42578125" style="65" bestFit="1" customWidth="1"/>
    <col min="13063" max="13063" width="4.7109375" style="65" bestFit="1" customWidth="1"/>
    <col min="13064" max="13064" width="24.5703125" style="65" bestFit="1" customWidth="1"/>
    <col min="13065" max="13065" width="0" style="65" hidden="1" customWidth="1"/>
    <col min="13066" max="13066" width="22.7109375" style="65" bestFit="1" customWidth="1"/>
    <col min="13067" max="13067" width="1.42578125" style="65" bestFit="1" customWidth="1"/>
    <col min="13068" max="13068" width="16" style="65" bestFit="1" customWidth="1"/>
    <col min="13069" max="13069" width="1.42578125" style="65" bestFit="1" customWidth="1"/>
    <col min="13070" max="13070" width="12.28515625" style="65" bestFit="1" customWidth="1"/>
    <col min="13071" max="13311" width="8.85546875" style="65"/>
    <col min="13312" max="13312" width="2.42578125" style="65" bestFit="1" customWidth="1"/>
    <col min="13313" max="13316" width="0" style="65" hidden="1" customWidth="1"/>
    <col min="13317" max="13317" width="3" style="65" bestFit="1" customWidth="1"/>
    <col min="13318" max="13318" width="3.42578125" style="65" bestFit="1" customWidth="1"/>
    <col min="13319" max="13319" width="4.7109375" style="65" bestFit="1" customWidth="1"/>
    <col min="13320" max="13320" width="24.5703125" style="65" bestFit="1" customWidth="1"/>
    <col min="13321" max="13321" width="0" style="65" hidden="1" customWidth="1"/>
    <col min="13322" max="13322" width="22.7109375" style="65" bestFit="1" customWidth="1"/>
    <col min="13323" max="13323" width="1.42578125" style="65" bestFit="1" customWidth="1"/>
    <col min="13324" max="13324" width="16" style="65" bestFit="1" customWidth="1"/>
    <col min="13325" max="13325" width="1.42578125" style="65" bestFit="1" customWidth="1"/>
    <col min="13326" max="13326" width="12.28515625" style="65" bestFit="1" customWidth="1"/>
    <col min="13327" max="13567" width="8.85546875" style="65"/>
    <col min="13568" max="13568" width="2.42578125" style="65" bestFit="1" customWidth="1"/>
    <col min="13569" max="13572" width="0" style="65" hidden="1" customWidth="1"/>
    <col min="13573" max="13573" width="3" style="65" bestFit="1" customWidth="1"/>
    <col min="13574" max="13574" width="3.42578125" style="65" bestFit="1" customWidth="1"/>
    <col min="13575" max="13575" width="4.7109375" style="65" bestFit="1" customWidth="1"/>
    <col min="13576" max="13576" width="24.5703125" style="65" bestFit="1" customWidth="1"/>
    <col min="13577" max="13577" width="0" style="65" hidden="1" customWidth="1"/>
    <col min="13578" max="13578" width="22.7109375" style="65" bestFit="1" customWidth="1"/>
    <col min="13579" max="13579" width="1.42578125" style="65" bestFit="1" customWidth="1"/>
    <col min="13580" max="13580" width="16" style="65" bestFit="1" customWidth="1"/>
    <col min="13581" max="13581" width="1.42578125" style="65" bestFit="1" customWidth="1"/>
    <col min="13582" max="13582" width="12.28515625" style="65" bestFit="1" customWidth="1"/>
    <col min="13583" max="13823" width="8.85546875" style="65"/>
    <col min="13824" max="13824" width="2.42578125" style="65" bestFit="1" customWidth="1"/>
    <col min="13825" max="13828" width="0" style="65" hidden="1" customWidth="1"/>
    <col min="13829" max="13829" width="3" style="65" bestFit="1" customWidth="1"/>
    <col min="13830" max="13830" width="3.42578125" style="65" bestFit="1" customWidth="1"/>
    <col min="13831" max="13831" width="4.7109375" style="65" bestFit="1" customWidth="1"/>
    <col min="13832" max="13832" width="24.5703125" style="65" bestFit="1" customWidth="1"/>
    <col min="13833" max="13833" width="0" style="65" hidden="1" customWidth="1"/>
    <col min="13834" max="13834" width="22.7109375" style="65" bestFit="1" customWidth="1"/>
    <col min="13835" max="13835" width="1.42578125" style="65" bestFit="1" customWidth="1"/>
    <col min="13836" max="13836" width="16" style="65" bestFit="1" customWidth="1"/>
    <col min="13837" max="13837" width="1.42578125" style="65" bestFit="1" customWidth="1"/>
    <col min="13838" max="13838" width="12.28515625" style="65" bestFit="1" customWidth="1"/>
    <col min="13839" max="14079" width="8.85546875" style="65"/>
    <col min="14080" max="14080" width="2.42578125" style="65" bestFit="1" customWidth="1"/>
    <col min="14081" max="14084" width="0" style="65" hidden="1" customWidth="1"/>
    <col min="14085" max="14085" width="3" style="65" bestFit="1" customWidth="1"/>
    <col min="14086" max="14086" width="3.42578125" style="65" bestFit="1" customWidth="1"/>
    <col min="14087" max="14087" width="4.7109375" style="65" bestFit="1" customWidth="1"/>
    <col min="14088" max="14088" width="24.5703125" style="65" bestFit="1" customWidth="1"/>
    <col min="14089" max="14089" width="0" style="65" hidden="1" customWidth="1"/>
    <col min="14090" max="14090" width="22.7109375" style="65" bestFit="1" customWidth="1"/>
    <col min="14091" max="14091" width="1.42578125" style="65" bestFit="1" customWidth="1"/>
    <col min="14092" max="14092" width="16" style="65" bestFit="1" customWidth="1"/>
    <col min="14093" max="14093" width="1.42578125" style="65" bestFit="1" customWidth="1"/>
    <col min="14094" max="14094" width="12.28515625" style="65" bestFit="1" customWidth="1"/>
    <col min="14095" max="14335" width="8.85546875" style="65"/>
    <col min="14336" max="14336" width="2.42578125" style="65" bestFit="1" customWidth="1"/>
    <col min="14337" max="14340" width="0" style="65" hidden="1" customWidth="1"/>
    <col min="14341" max="14341" width="3" style="65" bestFit="1" customWidth="1"/>
    <col min="14342" max="14342" width="3.42578125" style="65" bestFit="1" customWidth="1"/>
    <col min="14343" max="14343" width="4.7109375" style="65" bestFit="1" customWidth="1"/>
    <col min="14344" max="14344" width="24.5703125" style="65" bestFit="1" customWidth="1"/>
    <col min="14345" max="14345" width="0" style="65" hidden="1" customWidth="1"/>
    <col min="14346" max="14346" width="22.7109375" style="65" bestFit="1" customWidth="1"/>
    <col min="14347" max="14347" width="1.42578125" style="65" bestFit="1" customWidth="1"/>
    <col min="14348" max="14348" width="16" style="65" bestFit="1" customWidth="1"/>
    <col min="14349" max="14349" width="1.42578125" style="65" bestFit="1" customWidth="1"/>
    <col min="14350" max="14350" width="12.28515625" style="65" bestFit="1" customWidth="1"/>
    <col min="14351" max="14591" width="8.85546875" style="65"/>
    <col min="14592" max="14592" width="2.42578125" style="65" bestFit="1" customWidth="1"/>
    <col min="14593" max="14596" width="0" style="65" hidden="1" customWidth="1"/>
    <col min="14597" max="14597" width="3" style="65" bestFit="1" customWidth="1"/>
    <col min="14598" max="14598" width="3.42578125" style="65" bestFit="1" customWidth="1"/>
    <col min="14599" max="14599" width="4.7109375" style="65" bestFit="1" customWidth="1"/>
    <col min="14600" max="14600" width="24.5703125" style="65" bestFit="1" customWidth="1"/>
    <col min="14601" max="14601" width="0" style="65" hidden="1" customWidth="1"/>
    <col min="14602" max="14602" width="22.7109375" style="65" bestFit="1" customWidth="1"/>
    <col min="14603" max="14603" width="1.42578125" style="65" bestFit="1" customWidth="1"/>
    <col min="14604" max="14604" width="16" style="65" bestFit="1" customWidth="1"/>
    <col min="14605" max="14605" width="1.42578125" style="65" bestFit="1" customWidth="1"/>
    <col min="14606" max="14606" width="12.28515625" style="65" bestFit="1" customWidth="1"/>
    <col min="14607" max="14847" width="8.85546875" style="65"/>
    <col min="14848" max="14848" width="2.42578125" style="65" bestFit="1" customWidth="1"/>
    <col min="14849" max="14852" width="0" style="65" hidden="1" customWidth="1"/>
    <col min="14853" max="14853" width="3" style="65" bestFit="1" customWidth="1"/>
    <col min="14854" max="14854" width="3.42578125" style="65" bestFit="1" customWidth="1"/>
    <col min="14855" max="14855" width="4.7109375" style="65" bestFit="1" customWidth="1"/>
    <col min="14856" max="14856" width="24.5703125" style="65" bestFit="1" customWidth="1"/>
    <col min="14857" max="14857" width="0" style="65" hidden="1" customWidth="1"/>
    <col min="14858" max="14858" width="22.7109375" style="65" bestFit="1" customWidth="1"/>
    <col min="14859" max="14859" width="1.42578125" style="65" bestFit="1" customWidth="1"/>
    <col min="14860" max="14860" width="16" style="65" bestFit="1" customWidth="1"/>
    <col min="14861" max="14861" width="1.42578125" style="65" bestFit="1" customWidth="1"/>
    <col min="14862" max="14862" width="12.28515625" style="65" bestFit="1" customWidth="1"/>
    <col min="14863" max="15103" width="8.85546875" style="65"/>
    <col min="15104" max="15104" width="2.42578125" style="65" bestFit="1" customWidth="1"/>
    <col min="15105" max="15108" width="0" style="65" hidden="1" customWidth="1"/>
    <col min="15109" max="15109" width="3" style="65" bestFit="1" customWidth="1"/>
    <col min="15110" max="15110" width="3.42578125" style="65" bestFit="1" customWidth="1"/>
    <col min="15111" max="15111" width="4.7109375" style="65" bestFit="1" customWidth="1"/>
    <col min="15112" max="15112" width="24.5703125" style="65" bestFit="1" customWidth="1"/>
    <col min="15113" max="15113" width="0" style="65" hidden="1" customWidth="1"/>
    <col min="15114" max="15114" width="22.7109375" style="65" bestFit="1" customWidth="1"/>
    <col min="15115" max="15115" width="1.42578125" style="65" bestFit="1" customWidth="1"/>
    <col min="15116" max="15116" width="16" style="65" bestFit="1" customWidth="1"/>
    <col min="15117" max="15117" width="1.42578125" style="65" bestFit="1" customWidth="1"/>
    <col min="15118" max="15118" width="12.28515625" style="65" bestFit="1" customWidth="1"/>
    <col min="15119" max="15359" width="8.85546875" style="65"/>
    <col min="15360" max="15360" width="2.42578125" style="65" bestFit="1" customWidth="1"/>
    <col min="15361" max="15364" width="0" style="65" hidden="1" customWidth="1"/>
    <col min="15365" max="15365" width="3" style="65" bestFit="1" customWidth="1"/>
    <col min="15366" max="15366" width="3.42578125" style="65" bestFit="1" customWidth="1"/>
    <col min="15367" max="15367" width="4.7109375" style="65" bestFit="1" customWidth="1"/>
    <col min="15368" max="15368" width="24.5703125" style="65" bestFit="1" customWidth="1"/>
    <col min="15369" max="15369" width="0" style="65" hidden="1" customWidth="1"/>
    <col min="15370" max="15370" width="22.7109375" style="65" bestFit="1" customWidth="1"/>
    <col min="15371" max="15371" width="1.42578125" style="65" bestFit="1" customWidth="1"/>
    <col min="15372" max="15372" width="16" style="65" bestFit="1" customWidth="1"/>
    <col min="15373" max="15373" width="1.42578125" style="65" bestFit="1" customWidth="1"/>
    <col min="15374" max="15374" width="12.28515625" style="65" bestFit="1" customWidth="1"/>
    <col min="15375" max="15615" width="8.85546875" style="65"/>
    <col min="15616" max="15616" width="2.42578125" style="65" bestFit="1" customWidth="1"/>
    <col min="15617" max="15620" width="0" style="65" hidden="1" customWidth="1"/>
    <col min="15621" max="15621" width="3" style="65" bestFit="1" customWidth="1"/>
    <col min="15622" max="15622" width="3.42578125" style="65" bestFit="1" customWidth="1"/>
    <col min="15623" max="15623" width="4.7109375" style="65" bestFit="1" customWidth="1"/>
    <col min="15624" max="15624" width="24.5703125" style="65" bestFit="1" customWidth="1"/>
    <col min="15625" max="15625" width="0" style="65" hidden="1" customWidth="1"/>
    <col min="15626" max="15626" width="22.7109375" style="65" bestFit="1" customWidth="1"/>
    <col min="15627" max="15627" width="1.42578125" style="65" bestFit="1" customWidth="1"/>
    <col min="15628" max="15628" width="16" style="65" bestFit="1" customWidth="1"/>
    <col min="15629" max="15629" width="1.42578125" style="65" bestFit="1" customWidth="1"/>
    <col min="15630" max="15630" width="12.28515625" style="65" bestFit="1" customWidth="1"/>
    <col min="15631" max="15871" width="8.85546875" style="65"/>
    <col min="15872" max="15872" width="2.42578125" style="65" bestFit="1" customWidth="1"/>
    <col min="15873" max="15876" width="0" style="65" hidden="1" customWidth="1"/>
    <col min="15877" max="15877" width="3" style="65" bestFit="1" customWidth="1"/>
    <col min="15878" max="15878" width="3.42578125" style="65" bestFit="1" customWidth="1"/>
    <col min="15879" max="15879" width="4.7109375" style="65" bestFit="1" customWidth="1"/>
    <col min="15880" max="15880" width="24.5703125" style="65" bestFit="1" customWidth="1"/>
    <col min="15881" max="15881" width="0" style="65" hidden="1" customWidth="1"/>
    <col min="15882" max="15882" width="22.7109375" style="65" bestFit="1" customWidth="1"/>
    <col min="15883" max="15883" width="1.42578125" style="65" bestFit="1" customWidth="1"/>
    <col min="15884" max="15884" width="16" style="65" bestFit="1" customWidth="1"/>
    <col min="15885" max="15885" width="1.42578125" style="65" bestFit="1" customWidth="1"/>
    <col min="15886" max="15886" width="12.28515625" style="65" bestFit="1" customWidth="1"/>
    <col min="15887" max="16127" width="8.85546875" style="65"/>
    <col min="16128" max="16128" width="2.42578125" style="65" bestFit="1" customWidth="1"/>
    <col min="16129" max="16132" width="0" style="65" hidden="1" customWidth="1"/>
    <col min="16133" max="16133" width="3" style="65" bestFit="1" customWidth="1"/>
    <col min="16134" max="16134" width="3.42578125" style="65" bestFit="1" customWidth="1"/>
    <col min="16135" max="16135" width="4.7109375" style="65" bestFit="1" customWidth="1"/>
    <col min="16136" max="16136" width="24.5703125" style="65" bestFit="1" customWidth="1"/>
    <col min="16137" max="16137" width="0" style="65" hidden="1" customWidth="1"/>
    <col min="16138" max="16138" width="22.7109375" style="65" bestFit="1" customWidth="1"/>
    <col min="16139" max="16139" width="1.42578125" style="65" bestFit="1" customWidth="1"/>
    <col min="16140" max="16140" width="16" style="65" bestFit="1" customWidth="1"/>
    <col min="16141" max="16141" width="1.42578125" style="65" bestFit="1" customWidth="1"/>
    <col min="16142" max="16142" width="12.28515625" style="65" bestFit="1" customWidth="1"/>
    <col min="16143" max="16384" width="8.85546875" style="65"/>
  </cols>
  <sheetData>
    <row r="1" spans="1:17" s="55" customFormat="1" ht="20.25">
      <c r="A1" s="556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86"/>
      <c r="N1" s="183" t="str">
        <f>Setup!$B$7</f>
        <v>Κ14</v>
      </c>
      <c r="O1" s="54"/>
      <c r="P1" s="54"/>
      <c r="Q1" s="54"/>
    </row>
    <row r="2" spans="1:17">
      <c r="A2" s="297"/>
      <c r="B2" s="299">
        <f>Setup!B15</f>
        <v>32</v>
      </c>
      <c r="C2" s="299"/>
      <c r="D2" s="299"/>
      <c r="E2" s="299"/>
      <c r="F2" s="301"/>
      <c r="G2" s="301" t="str">
        <f>"p"&amp;VLOOKUP(Setup!$B$5,tmp!$J$3:$P$9,2,FALSE)</f>
        <v>p0,5</v>
      </c>
      <c r="H2" s="302"/>
      <c r="I2" s="302"/>
      <c r="J2" s="302"/>
      <c r="K2" s="301"/>
      <c r="L2" s="301" t="str">
        <f>"p"&amp;VLOOKUP(Setup!$B$5,tmp!$J$3:$P$9,3,FALSE)</f>
        <v>p1</v>
      </c>
      <c r="M2" s="302"/>
      <c r="N2" s="301" t="str">
        <f>"p"&amp;VLOOKUP(Setup!$B$5,tmp!$J$3:$P$9,4,FALSE)</f>
        <v>p1</v>
      </c>
    </row>
    <row r="3" spans="1:17">
      <c r="A3" s="87"/>
      <c r="B3" s="88"/>
      <c r="C3" s="88"/>
      <c r="D3" s="88"/>
      <c r="E3" s="88"/>
      <c r="F3" s="87"/>
      <c r="G3" s="89"/>
      <c r="H3" s="558">
        <v>32</v>
      </c>
      <c r="I3" s="558"/>
      <c r="J3" s="558"/>
      <c r="K3" s="63"/>
      <c r="L3" s="64">
        <v>16</v>
      </c>
      <c r="M3" s="63"/>
      <c r="N3" s="64">
        <v>8</v>
      </c>
    </row>
    <row r="4" spans="1:17" s="60" customFormat="1">
      <c r="A4" s="90" t="s">
        <v>9</v>
      </c>
      <c r="B4" s="91"/>
      <c r="C4" s="92" t="s">
        <v>25</v>
      </c>
      <c r="D4" s="92" t="s">
        <v>33</v>
      </c>
      <c r="E4" s="92" t="s">
        <v>34</v>
      </c>
      <c r="F4" s="90" t="s">
        <v>10</v>
      </c>
      <c r="G4" s="90" t="s">
        <v>73</v>
      </c>
      <c r="H4" s="93" t="s">
        <v>6</v>
      </c>
      <c r="I4" s="94" t="s">
        <v>28</v>
      </c>
      <c r="J4" s="93" t="s">
        <v>8</v>
      </c>
      <c r="K4" s="58"/>
      <c r="M4" s="66"/>
    </row>
    <row r="5" spans="1:17" ht="12.75">
      <c r="A5" s="95">
        <v>1</v>
      </c>
      <c r="B5" s="96"/>
      <c r="C5" s="97"/>
      <c r="D5" s="96"/>
      <c r="E5" s="96">
        <v>0</v>
      </c>
      <c r="F5" s="98">
        <v>1</v>
      </c>
      <c r="G5" s="98">
        <f>IF(Setup!$B$23="#",0,IF(F5&gt;0,VLOOKUP(F5,'AL QD'!$A$3:$H$34,3,FALSE),0))</f>
        <v>0</v>
      </c>
      <c r="H5" s="168">
        <f>IF($G5&gt;0,VLOOKUP(G5,'AL QD'!$C$3:$H$34,2,FALSE),0)</f>
        <v>0</v>
      </c>
      <c r="I5" s="427" t="str">
        <f>IF(NOT(G5&gt;0),"", IF(ISERROR(FIND("-",H5)), LEFT(H5,FIND(" ",H5)-1),  IF(FIND("-",H5)&gt;FIND(" ",H5),LEFT(H5,FIND(" ",H5)-1),   LEFT(H5,FIND("-",H5)-1)    )))</f>
        <v/>
      </c>
      <c r="J5" s="99" t="str">
        <f>IF($G5&gt;0,VLOOKUP($G5,'AL QD'!$C$3:$E$34,3,FALSE),"")</f>
        <v/>
      </c>
      <c r="K5" s="68"/>
      <c r="L5" s="167" t="str">
        <f>UPPER(IF($A$2="R",IF(OR(K5=1,K5="a"),G5,IF(OR(K5=2,K5="b"),G6,"")),IF(OR(K5=1,K5="1"),I5,IF(OR(K5=2,K5="b"),I6,""))))</f>
        <v/>
      </c>
      <c r="M5" s="69"/>
      <c r="N5" s="70"/>
    </row>
    <row r="6" spans="1:17" ht="12.75">
      <c r="A6" s="100">
        <v>2</v>
      </c>
      <c r="B6" s="101">
        <f>IF(E6=0,17-D6,0)</f>
        <v>0</v>
      </c>
      <c r="C6" s="102">
        <v>1</v>
      </c>
      <c r="D6" s="101">
        <f>E6</f>
        <v>1</v>
      </c>
      <c r="E6" s="101">
        <f>IF($B$2&gt;=C6,1,0)</f>
        <v>1</v>
      </c>
      <c r="F6" s="100" t="str">
        <f>IF($B$2&gt;=C6,"-",VLOOKUP($B6,Setup!$H$15:$I$30,2,FALSE))</f>
        <v>-</v>
      </c>
      <c r="G6" s="100">
        <f>IF(Setup!$B$23="#",0,IF(NOT(F6="-"),VLOOKUP(F6,'AL QD'!$A$3:$H$34,3,FALSE),0))</f>
        <v>0</v>
      </c>
      <c r="H6" s="169" t="str">
        <f>IF($G6&gt;0,VLOOKUP($G6,'AL QD'!$C$3:$E$34,2,FALSE),"bye")</f>
        <v>bye</v>
      </c>
      <c r="I6" s="70" t="str">
        <f t="shared" ref="I6:I36" si="0">IF(NOT(G6&gt;0),"", IF(ISERROR(FIND("-",H6)), LEFT(H6,FIND(" ",H6)-1),  IF(FIND("-",H6)&gt;FIND(" ",H6),LEFT(H6,FIND(" ",H6)-1),   LEFT(H6,FIND("-",H6)-1)    )))</f>
        <v/>
      </c>
      <c r="J6" s="103" t="str">
        <f>IF($G6&gt;0,VLOOKUP($G6,'AL QD'!$C$3:$E$34,3,FALSE),"")</f>
        <v/>
      </c>
      <c r="K6" s="72"/>
      <c r="L6" s="171"/>
      <c r="M6" s="68"/>
      <c r="N6" s="167" t="str">
        <f>UPPER(IF($A$2="R",IF(OR(M6=1,M6="a"),L5,IF(OR(M6=2,M6="b"),L7,"")),IF(OR(M6=1,M6="a"),L5,IF(OR(M6=2,M6="b"),L7,""))))</f>
        <v/>
      </c>
    </row>
    <row r="7" spans="1:17" ht="12.75">
      <c r="A7" s="100">
        <v>3</v>
      </c>
      <c r="B7" s="101">
        <f>IF(E7=0,18-D7,0)</f>
        <v>0</v>
      </c>
      <c r="C7" s="102">
        <f>Setup!G4</f>
        <v>0</v>
      </c>
      <c r="D7" s="101">
        <f t="shared" ref="D7:D20" si="1">D6+E7</f>
        <v>2</v>
      </c>
      <c r="E7" s="101">
        <f>IF($B$2&gt;=C7,1,0)</f>
        <v>1</v>
      </c>
      <c r="F7" s="100" t="str">
        <f>IF($B$2&gt;=C7,"-",VLOOKUP($B7,Setup!$H$15:$I$30,2,FALSE))</f>
        <v>-</v>
      </c>
      <c r="G7" s="100">
        <f>IF(Setup!$B$23="#",0,IF(NOT(F7="-"),VLOOKUP(F7,'AL QD'!$A$3:$H$34,3,FALSE),0))</f>
        <v>0</v>
      </c>
      <c r="H7" s="169" t="str">
        <f>IF($G7&gt;0,VLOOKUP(G7,'AL QD'!$C$3:$E$34,2,FALSE),"bye")</f>
        <v>bye</v>
      </c>
      <c r="I7" s="70" t="str">
        <f t="shared" si="0"/>
        <v/>
      </c>
      <c r="J7" s="103" t="str">
        <f>IF($G7&gt;0,VLOOKUP($G7,'AL QD'!$C$3:$E$34,3,FALSE),"")</f>
        <v/>
      </c>
      <c r="K7" s="73"/>
      <c r="L7" s="167" t="str">
        <f>UPPER(IF($A$2="R",IF(OR(K7=1,K7="a"),G7,IF(OR(K7=2,K7="b"),G8,"")),IF(OR(K7=1,K7="a"),I7,IF(OR(K7=2,K7="b"),I8,""))))</f>
        <v/>
      </c>
      <c r="M7" s="74"/>
      <c r="N7" s="173"/>
    </row>
    <row r="8" spans="1:17" ht="12.75">
      <c r="A8" s="104">
        <v>4</v>
      </c>
      <c r="B8" s="105"/>
      <c r="C8" s="106">
        <v>17</v>
      </c>
      <c r="D8" s="105">
        <f t="shared" si="1"/>
        <v>3</v>
      </c>
      <c r="E8" s="105">
        <f>IF($B$2&gt;=C8,1,0)</f>
        <v>1</v>
      </c>
      <c r="F8" s="104">
        <f>Setup!G4</f>
        <v>0</v>
      </c>
      <c r="G8" s="104">
        <f>IF(Setup!$B$23="#",0,IF(F8&gt;0,VLOOKUP(F8,'AL QD'!$A$3:$E$34,3,FALSE),0))</f>
        <v>0</v>
      </c>
      <c r="H8" s="170" t="str">
        <f>IF(G8&gt;0,VLOOKUP(G8,'AL QD'!$C$3:$E$34,2,FALSE),"bye")</f>
        <v>bye</v>
      </c>
      <c r="I8" s="70" t="str">
        <f t="shared" si="0"/>
        <v/>
      </c>
      <c r="J8" s="107" t="str">
        <f>IF($G8&gt;0,VLOOKUP($G8,'AL QD'!$C$3:$E$34,3,FALSE),"")</f>
        <v/>
      </c>
      <c r="K8" s="72"/>
      <c r="L8" s="172"/>
      <c r="M8" s="69"/>
      <c r="N8" s="174"/>
    </row>
    <row r="9" spans="1:17" ht="12.75">
      <c r="A9" s="100">
        <v>5</v>
      </c>
      <c r="B9" s="101"/>
      <c r="C9" s="108"/>
      <c r="D9" s="101">
        <f t="shared" si="1"/>
        <v>3</v>
      </c>
      <c r="E9" s="101">
        <v>0</v>
      </c>
      <c r="F9" s="98">
        <v>2</v>
      </c>
      <c r="G9" s="98">
        <f>IF(Setup!$B$23="#",0,IF(F9&gt;0,VLOOKUP(F9,'AL QD'!$A$3:$H$34,3,FALSE),0))</f>
        <v>0</v>
      </c>
      <c r="H9" s="168">
        <f>IF($G9&gt;0,VLOOKUP(G9,'AL QD'!$C$3:$H$34,2,FALSE),0)</f>
        <v>0</v>
      </c>
      <c r="I9" s="427" t="str">
        <f t="shared" si="0"/>
        <v/>
      </c>
      <c r="J9" s="109" t="str">
        <f>IF($G9&gt;0,VLOOKUP($G9,'AL QD'!$C$3:$E$34,3,FALSE),"")</f>
        <v/>
      </c>
      <c r="K9" s="56"/>
      <c r="L9" s="167" t="str">
        <f>UPPER(IF($A$2="R",IF(OR(K9=1,K9="a"),G9,IF(OR(K9=2,K9="b"),G10,"")),IF(OR(K9=1,K9="a"),I9,IF(OR(K9=2,K9="b"),I10,""))))</f>
        <v/>
      </c>
      <c r="M9" s="69"/>
      <c r="N9" s="174"/>
    </row>
    <row r="10" spans="1:17" ht="12.75">
      <c r="A10" s="100">
        <v>6</v>
      </c>
      <c r="B10" s="101">
        <f>IF(E10=0,19-D10,0)</f>
        <v>0</v>
      </c>
      <c r="C10" s="102">
        <v>2</v>
      </c>
      <c r="D10" s="101">
        <f t="shared" si="1"/>
        <v>4</v>
      </c>
      <c r="E10" s="101">
        <f>IF($B$2&gt;=C10,1,0)</f>
        <v>1</v>
      </c>
      <c r="F10" s="100" t="str">
        <f>IF($B$2&gt;=C10,"-",VLOOKUP($B10,Setup!$H$15:$I$30,2,FALSE))</f>
        <v>-</v>
      </c>
      <c r="G10" s="100">
        <f>IF(Setup!$B$23="#",0,IF(NOT(F10="-"),VLOOKUP(F10,'AL QD'!$A$3:$E$34,3,FALSE),0))</f>
        <v>0</v>
      </c>
      <c r="H10" s="169" t="str">
        <f>IF($G10&gt;0,VLOOKUP($G10,'AL QD'!$C$3:$E$34,2,FALSE),"bye")</f>
        <v>bye</v>
      </c>
      <c r="I10" s="70" t="str">
        <f t="shared" si="0"/>
        <v/>
      </c>
      <c r="J10" s="103" t="str">
        <f>IF($G10&gt;0,VLOOKUP($G10,'AL QD'!$C$3:$E$34,3,FALSE),"")</f>
        <v/>
      </c>
      <c r="K10" s="72"/>
      <c r="L10" s="171"/>
      <c r="M10" s="68"/>
      <c r="N10" s="167" t="str">
        <f>UPPER(IF($A$2="R",IF(OR(M10=1,M10="a"),L9,IF(OR(M10=2,M10="b"),L11,"")),IF(OR(M10=1,M10="a"),L9,IF(OR(M10=2,M10="b"),L11,""))))</f>
        <v/>
      </c>
    </row>
    <row r="11" spans="1:17" ht="12.75">
      <c r="A11" s="100">
        <v>7</v>
      </c>
      <c r="B11" s="101">
        <f>IF(E11=0,20-D11,0)</f>
        <v>0</v>
      </c>
      <c r="C11" s="102">
        <f>Setup!G5</f>
        <v>0</v>
      </c>
      <c r="D11" s="101">
        <f t="shared" si="1"/>
        <v>5</v>
      </c>
      <c r="E11" s="101">
        <f>IF($B$2&gt;=C11,1,0)</f>
        <v>1</v>
      </c>
      <c r="F11" s="100" t="str">
        <f>IF($B$2&gt;=C11,"-",VLOOKUP($B11,Setup!$H$15:$I$30,2,FALSE))</f>
        <v>-</v>
      </c>
      <c r="G11" s="100">
        <f>IF(Setup!$B$23="#",0,IF(NOT(F11="-"),VLOOKUP(F11,'AL QD'!$A$3:$E$34,3,FALSE),0))</f>
        <v>0</v>
      </c>
      <c r="H11" s="169" t="str">
        <f>IF($G11&gt;0,VLOOKUP($G11,'AL QD'!$C$3:$E$34,2,FALSE),"bye")</f>
        <v>bye</v>
      </c>
      <c r="I11" s="70" t="str">
        <f t="shared" si="0"/>
        <v/>
      </c>
      <c r="J11" s="103" t="str">
        <f>IF($G11&gt;0,VLOOKUP($G11,'AL QD'!$C$3:$E$34,3,FALSE),"")</f>
        <v/>
      </c>
      <c r="K11" s="73"/>
      <c r="L11" s="167" t="str">
        <f>UPPER(IF($A$2="R",IF(OR(K11=1,K11="a"),G11,IF(OR(K11=2,K11="b"),G12,"")),IF(OR(K11=1,K11="a"),I11,IF(OR(K11=2,K11="b"),I12,""))))</f>
        <v/>
      </c>
      <c r="M11" s="74"/>
      <c r="N11" s="173"/>
    </row>
    <row r="12" spans="1:17" ht="12.75">
      <c r="A12" s="104">
        <v>8</v>
      </c>
      <c r="B12" s="105"/>
      <c r="C12" s="106">
        <v>18</v>
      </c>
      <c r="D12" s="105">
        <f t="shared" si="1"/>
        <v>6</v>
      </c>
      <c r="E12" s="105">
        <f>IF($B$2&gt;=C12,1,0)</f>
        <v>1</v>
      </c>
      <c r="F12" s="104">
        <f>Setup!G5</f>
        <v>0</v>
      </c>
      <c r="G12" s="104">
        <f>IF(Setup!$B$23="#",0,IF(F12&gt;0,VLOOKUP(F12,'AL QD'!$A$3:$E$34,3,FALSE),0))</f>
        <v>0</v>
      </c>
      <c r="H12" s="170" t="str">
        <f>IF(G12&gt;0,VLOOKUP(G12,'AL QD'!$C$3:$E$34,2,FALSE),"bye")</f>
        <v>bye</v>
      </c>
      <c r="I12" s="70" t="str">
        <f t="shared" si="0"/>
        <v/>
      </c>
      <c r="J12" s="107" t="str">
        <f>IF($G12&gt;0,VLOOKUP($G12,'AL QD'!$C$3:$E$34,3,FALSE),"")</f>
        <v/>
      </c>
      <c r="K12" s="72"/>
      <c r="L12" s="173"/>
      <c r="N12" s="174"/>
    </row>
    <row r="13" spans="1:17" ht="12.75">
      <c r="A13" s="100">
        <v>9</v>
      </c>
      <c r="B13" s="101"/>
      <c r="C13" s="108"/>
      <c r="D13" s="101">
        <f t="shared" si="1"/>
        <v>6</v>
      </c>
      <c r="E13" s="101">
        <v>0</v>
      </c>
      <c r="F13" s="110">
        <v>3</v>
      </c>
      <c r="G13" s="98">
        <f>IF(Setup!$B$23="#",0,IF(F13&gt;0,VLOOKUP(F13,'AL QD'!$A$3:$H$34,3,FALSE),0))</f>
        <v>0</v>
      </c>
      <c r="H13" s="168">
        <f>IF($G13&gt;0,VLOOKUP(G13,'AL QD'!$C$3:$H$34,2,FALSE),0)</f>
        <v>0</v>
      </c>
      <c r="I13" s="427" t="str">
        <f t="shared" si="0"/>
        <v/>
      </c>
      <c r="J13" s="109" t="str">
        <f>IF($G13&gt;0,VLOOKUP($G13,'AL QD'!$C$3:$E$34,3,FALSE),"")</f>
        <v/>
      </c>
      <c r="K13" s="73"/>
      <c r="L13" s="167" t="str">
        <f>UPPER(IF($A$2="R",IF(OR(K13=1,K13="a"),G13,IF(OR(K13=2,K13="b"),G14,"")),IF(OR(K13=1,K13="a"),I13,IF(OR(K13=2,K13="b"),I14,""))))</f>
        <v/>
      </c>
      <c r="M13" s="69"/>
      <c r="N13" s="174"/>
    </row>
    <row r="14" spans="1:17" ht="12.75">
      <c r="A14" s="100">
        <v>10</v>
      </c>
      <c r="B14" s="101">
        <f>IF(E14=0,21-D14,0)</f>
        <v>0</v>
      </c>
      <c r="C14" s="102">
        <v>3</v>
      </c>
      <c r="D14" s="101">
        <f t="shared" si="1"/>
        <v>7</v>
      </c>
      <c r="E14" s="101">
        <f>IF($B$2&gt;=C14,1,0)</f>
        <v>1</v>
      </c>
      <c r="F14" s="100" t="str">
        <f>IF($B$2&gt;=C14,"-",VLOOKUP($B14,Setup!$H$15:$I$30,2,FALSE))</f>
        <v>-</v>
      </c>
      <c r="G14" s="100">
        <f>IF(Setup!$B$23="#",0,IF(NOT(F14="-"),VLOOKUP(F14,'AL QD'!$A$3:$E$34,3,FALSE),0))</f>
        <v>0</v>
      </c>
      <c r="H14" s="169" t="str">
        <f>IF($G14&gt;0,VLOOKUP($G14,'AL QD'!$C$3:$E$34,2,FALSE),"bye")</f>
        <v>bye</v>
      </c>
      <c r="I14" s="70" t="str">
        <f t="shared" si="0"/>
        <v/>
      </c>
      <c r="J14" s="103" t="str">
        <f>IF($G14&gt;0,VLOOKUP($G14,'AL QD'!$C$3:$E$34,3,FALSE),"")</f>
        <v/>
      </c>
      <c r="K14" s="72"/>
      <c r="L14" s="171"/>
      <c r="M14" s="68"/>
      <c r="N14" s="167" t="str">
        <f>UPPER(IF($A$2="R",IF(OR(M14=1,M14="a"),L13,IF(OR(M14=2,M14="b"),L15,"")),IF(OR(M14=1,M14="a"),L13,IF(OR(M14=2,M14="b"),L15,""))))</f>
        <v/>
      </c>
    </row>
    <row r="15" spans="1:17" ht="12.75">
      <c r="A15" s="100">
        <v>11</v>
      </c>
      <c r="B15" s="101">
        <f>IF(E15=0,22-D15,0)</f>
        <v>0</v>
      </c>
      <c r="C15" s="102">
        <f>Setup!G6</f>
        <v>0</v>
      </c>
      <c r="D15" s="101">
        <f t="shared" si="1"/>
        <v>8</v>
      </c>
      <c r="E15" s="101">
        <f>IF($B$2&gt;=C15,1,0)</f>
        <v>1</v>
      </c>
      <c r="F15" s="100" t="str">
        <f>IF($B$2&gt;=C15,"-",VLOOKUP($B15,Setup!$H$15:$I$30,2,FALSE))</f>
        <v>-</v>
      </c>
      <c r="G15" s="100">
        <f>IF(Setup!$B$23="#",0,IF(NOT(F15="-"),VLOOKUP(F15,'AL QD'!$A$3:$E$34,3,FALSE),0))</f>
        <v>0</v>
      </c>
      <c r="H15" s="169" t="str">
        <f>IF(G15&gt;0,VLOOKUP(G15,'AL QD'!$C$3:$E$34,2,FALSE),"bye")</f>
        <v>bye</v>
      </c>
      <c r="I15" s="70" t="str">
        <f t="shared" si="0"/>
        <v/>
      </c>
      <c r="J15" s="103" t="str">
        <f>IF($G15&gt;0,VLOOKUP($G15,'AL QD'!$C$3:$E$34,3,FALSE),"")</f>
        <v/>
      </c>
      <c r="K15" s="73"/>
      <c r="L15" s="167" t="str">
        <f>UPPER(IF($A$2="R",IF(OR(K15=1,K15="a"),G15,IF(OR(K15=2,K15="b"),G16,"")),IF(OR(K15=1,K15="a"),I15,IF(OR(K15=2,K15="b"),I16,""))))</f>
        <v/>
      </c>
      <c r="M15" s="74"/>
      <c r="N15" s="173"/>
    </row>
    <row r="16" spans="1:17" ht="12.75">
      <c r="A16" s="104">
        <v>12</v>
      </c>
      <c r="B16" s="105"/>
      <c r="C16" s="106">
        <v>19</v>
      </c>
      <c r="D16" s="105">
        <f t="shared" si="1"/>
        <v>9</v>
      </c>
      <c r="E16" s="105">
        <f>IF($B$2&gt;=C16,1,0)</f>
        <v>1</v>
      </c>
      <c r="F16" s="104">
        <f>Setup!G6</f>
        <v>0</v>
      </c>
      <c r="G16" s="104">
        <f>IF(Setup!$B$23="#",0,IF(F16&gt;0,VLOOKUP(F16,'AL QD'!$A$3:$E$34,3,FALSE),0))</f>
        <v>0</v>
      </c>
      <c r="H16" s="170" t="str">
        <f>IF(G16&gt;0,VLOOKUP(G16,'AL QD'!$C$3:$E$34,2,FALSE),"bye")</f>
        <v>bye</v>
      </c>
      <c r="I16" s="458" t="str">
        <f t="shared" si="0"/>
        <v/>
      </c>
      <c r="J16" s="107" t="str">
        <f>IF($G16&gt;0,VLOOKUP($G16,'AL QD'!$C$3:$E$34,3,FALSE),"")</f>
        <v/>
      </c>
      <c r="K16" s="58"/>
      <c r="L16" s="173"/>
      <c r="M16" s="69"/>
      <c r="N16" s="174"/>
    </row>
    <row r="17" spans="1:14" ht="12.75">
      <c r="A17" s="100">
        <v>13</v>
      </c>
      <c r="B17" s="101"/>
      <c r="C17" s="108"/>
      <c r="D17" s="101">
        <f t="shared" si="1"/>
        <v>9</v>
      </c>
      <c r="E17" s="101">
        <v>0</v>
      </c>
      <c r="F17" s="110">
        <v>4</v>
      </c>
      <c r="G17" s="98">
        <f>IF(Setup!$B$23="#",0,IF(F17&gt;0,VLOOKUP(F17,'AL QD'!$A$3:$H$34,3,FALSE),0))</f>
        <v>0</v>
      </c>
      <c r="H17" s="168">
        <f>IF($G17&gt;0,VLOOKUP(G17,'AL QD'!$C$3:$H$34,2,FALSE),0)</f>
        <v>0</v>
      </c>
      <c r="I17" s="70" t="str">
        <f t="shared" si="0"/>
        <v/>
      </c>
      <c r="J17" s="109" t="str">
        <f>IF($G17&gt;0,VLOOKUP($G17,'AL QD'!$C$3:$E$34,3,FALSE),"")</f>
        <v/>
      </c>
      <c r="K17" s="73"/>
      <c r="L17" s="167" t="str">
        <f>UPPER(IF($A$2="R",IF(OR(K17=1,K17="a"),G17,IF(OR(K17=2,K17="b"),G18,"")),IF(OR(K17=1,K17="a"),I17,IF(OR(K17=2,K17="b"),I18,""))))</f>
        <v/>
      </c>
      <c r="M17" s="69"/>
      <c r="N17" s="174"/>
    </row>
    <row r="18" spans="1:14" ht="12.75">
      <c r="A18" s="100">
        <v>14</v>
      </c>
      <c r="B18" s="101">
        <f>IF(E18=0,23-D18,0)</f>
        <v>0</v>
      </c>
      <c r="C18" s="102">
        <v>4</v>
      </c>
      <c r="D18" s="101">
        <f t="shared" si="1"/>
        <v>10</v>
      </c>
      <c r="E18" s="101">
        <f>IF($B$2&gt;=C18,1,0)</f>
        <v>1</v>
      </c>
      <c r="F18" s="100" t="str">
        <f>IF($B$2&gt;=C18,"-",VLOOKUP($B18,Setup!$H$15:$I$30,2,FALSE))</f>
        <v>-</v>
      </c>
      <c r="G18" s="100">
        <f>IF(Setup!$B$23="#",0,IF(NOT(F18="-"),VLOOKUP(F18,'AL QD'!$A$3:$E$34,3,FALSE),0))</f>
        <v>0</v>
      </c>
      <c r="H18" s="169" t="str">
        <f>IF($G18&gt;0,VLOOKUP($G18,'AL QD'!$C$3:$E$34,2,FALSE),"bye")</f>
        <v>bye</v>
      </c>
      <c r="I18" s="70" t="str">
        <f t="shared" si="0"/>
        <v/>
      </c>
      <c r="J18" s="103" t="str">
        <f>IF($G18&gt;0,VLOOKUP($G18,'AL QD'!$C$3:$E$34,3,FALSE),"")</f>
        <v/>
      </c>
      <c r="K18" s="72"/>
      <c r="L18" s="171"/>
      <c r="M18" s="68"/>
      <c r="N18" s="167" t="str">
        <f>UPPER(IF($A$2="R",IF(OR(M18=1,M18="a"),L17,IF(OR(M18=2,M18="b"),L19,"")),IF(OR(M18=1,M18="a"),L17,IF(OR(M18=2,M18="b"),L19,""))))</f>
        <v/>
      </c>
    </row>
    <row r="19" spans="1:14" ht="12.75">
      <c r="A19" s="100">
        <v>15</v>
      </c>
      <c r="B19" s="101">
        <f>IF(E19=0,24-D19,0)</f>
        <v>0</v>
      </c>
      <c r="C19" s="102">
        <f>Setup!G7</f>
        <v>0</v>
      </c>
      <c r="D19" s="101">
        <f t="shared" si="1"/>
        <v>11</v>
      </c>
      <c r="E19" s="101">
        <f>IF($B$2&gt;=C19,1,0)</f>
        <v>1</v>
      </c>
      <c r="F19" s="100" t="str">
        <f>IF($B$2&gt;=C19,"-",VLOOKUP($B19,Setup!$H$15:$I$30,2,FALSE))</f>
        <v>-</v>
      </c>
      <c r="G19" s="100">
        <f>IF(Setup!$B$23="#",0,IF(NOT(F19="-"),VLOOKUP(F19,'AL QD'!$A$3:$E$34,3,FALSE),0))</f>
        <v>0</v>
      </c>
      <c r="H19" s="169" t="str">
        <f>IF(G19&gt;0,VLOOKUP(G19,'AL QD'!$C$3:$E$34,2,FALSE),"bye")</f>
        <v>bye</v>
      </c>
      <c r="I19" s="70" t="str">
        <f t="shared" si="0"/>
        <v/>
      </c>
      <c r="J19" s="103" t="str">
        <f>IF($G19&gt;0,VLOOKUP($G19,'AL QD'!$C$3:$E$34,3,FALSE),"")</f>
        <v/>
      </c>
      <c r="K19" s="73"/>
      <c r="L19" s="167" t="str">
        <f>UPPER(IF($A$2="R",IF(OR(K19=1,K19="a"),G19,IF(OR(K19=2,K19="b"),G20,"")),IF(OR(K19=1,K19="a"),I19,IF(OR(K19=2,K19="b"),I20,""))))</f>
        <v/>
      </c>
      <c r="M19" s="74"/>
      <c r="N19" s="173"/>
    </row>
    <row r="20" spans="1:14" ht="12.75">
      <c r="A20" s="100">
        <v>16</v>
      </c>
      <c r="B20" s="101"/>
      <c r="C20" s="108">
        <v>20</v>
      </c>
      <c r="D20" s="101">
        <f t="shared" si="1"/>
        <v>12</v>
      </c>
      <c r="E20" s="105">
        <f>IF($B$2&gt;=C20,1,0)</f>
        <v>1</v>
      </c>
      <c r="F20" s="104">
        <f>Setup!G7</f>
        <v>0</v>
      </c>
      <c r="G20" s="100">
        <f>IF(Setup!$B$23="#",0,IF(F20&gt;0,VLOOKUP(F20,'AL QD'!$A$3:$E$34,3,FALSE),0))</f>
        <v>0</v>
      </c>
      <c r="H20" s="169" t="str">
        <f>IF(G20&gt;0,VLOOKUP(G20,'AL QD'!$C$3:$E$34,2,FALSE),"bye")</f>
        <v>bye</v>
      </c>
      <c r="I20" s="458" t="str">
        <f t="shared" si="0"/>
        <v/>
      </c>
      <c r="J20" s="103" t="str">
        <f>IF($G20&gt;0,VLOOKUP($G20,'AL QD'!$C$3:$E$34,3,FALSE),"")</f>
        <v/>
      </c>
      <c r="K20" s="72"/>
      <c r="L20" s="173"/>
      <c r="M20" s="69"/>
      <c r="N20" s="174"/>
    </row>
    <row r="21" spans="1:14" ht="12.75">
      <c r="A21" s="95">
        <v>17</v>
      </c>
      <c r="B21" s="96"/>
      <c r="C21" s="97"/>
      <c r="D21" s="96">
        <f t="shared" ref="D21:D36" si="2">D20+E21</f>
        <v>12</v>
      </c>
      <c r="E21" s="96">
        <v>0</v>
      </c>
      <c r="F21" s="98">
        <v>5</v>
      </c>
      <c r="G21" s="98">
        <f>IF(Setup!$B$23="#",0,IF(F21&gt;0,VLOOKUP(F21,'AL QD'!$A$3:$H$34,3,FALSE),0))</f>
        <v>0</v>
      </c>
      <c r="H21" s="168">
        <f>IF($G21&gt;0,VLOOKUP(G21,'AL QD'!$C$3:$H$34,2,FALSE),0)</f>
        <v>0</v>
      </c>
      <c r="I21" s="70" t="str">
        <f t="shared" si="0"/>
        <v/>
      </c>
      <c r="J21" s="109" t="str">
        <f>IF($G21&gt;0,VLOOKUP($G21,'AL QD'!$C$3:$E$34,3,FALSE),"")</f>
        <v/>
      </c>
      <c r="K21" s="73"/>
      <c r="L21" s="167" t="str">
        <f>UPPER(IF($A$2="R",IF(OR(K21=1,K21="a"),G21,IF(OR(K21=2,K21="b"),G22,"")),IF(OR(K21=1,K21="a"),I21,IF(OR(K21=2,K21="b"),I22,""))))</f>
        <v/>
      </c>
      <c r="M21" s="69"/>
      <c r="N21" s="174"/>
    </row>
    <row r="22" spans="1:14" ht="12.75">
      <c r="A22" s="100">
        <v>18</v>
      </c>
      <c r="B22" s="101">
        <f>IF(E22=0,25-D22,0)</f>
        <v>0</v>
      </c>
      <c r="C22" s="102">
        <v>5</v>
      </c>
      <c r="D22" s="101">
        <f t="shared" si="2"/>
        <v>13</v>
      </c>
      <c r="E22" s="101">
        <f>IF($B$2&gt;=C22,1,0)</f>
        <v>1</v>
      </c>
      <c r="F22" s="100" t="str">
        <f>IF($B$2&gt;=C22,"-",VLOOKUP($B22,Setup!$H$15:$I$30,2,FALSE))</f>
        <v>-</v>
      </c>
      <c r="G22" s="100">
        <f>IF(Setup!$B$23="#",0,IF(NOT(F22="-"),VLOOKUP(F22,'AL QD'!$A$3:$E$34,3,FALSE),0))</f>
        <v>0</v>
      </c>
      <c r="H22" s="169" t="str">
        <f>IF($G22&gt;0,VLOOKUP($G22,'AL QD'!$C$3:$E$34,2,FALSE),"bye")</f>
        <v>bye</v>
      </c>
      <c r="I22" s="70" t="str">
        <f t="shared" si="0"/>
        <v/>
      </c>
      <c r="J22" s="103" t="str">
        <f>IF($G22&gt;0,VLOOKUP($G22,'AL QD'!$C$3:$E$34,3,FALSE),"")</f>
        <v/>
      </c>
      <c r="K22" s="72"/>
      <c r="L22" s="171"/>
      <c r="M22" s="68"/>
      <c r="N22" s="167" t="str">
        <f>UPPER(IF($A$2="R",IF(OR(M22=1,M22="a"),L21,IF(OR(M22=2,M22="b"),L23,"")),IF(OR(M22=1,M22="a"),L21,IF(OR(M22=2,M22="b"),L23,""))))</f>
        <v/>
      </c>
    </row>
    <row r="23" spans="1:14" ht="12.75">
      <c r="A23" s="100">
        <v>19</v>
      </c>
      <c r="B23" s="101">
        <f>IF(E23=0,26-D23,0)</f>
        <v>0</v>
      </c>
      <c r="C23" s="102">
        <f>Setup!G8</f>
        <v>0</v>
      </c>
      <c r="D23" s="101">
        <f t="shared" si="2"/>
        <v>14</v>
      </c>
      <c r="E23" s="101">
        <f>IF($B$2&gt;=C23,1,0)</f>
        <v>1</v>
      </c>
      <c r="F23" s="100" t="str">
        <f>IF($B$2&gt;=C23,"-",VLOOKUP($B23,Setup!$H$15:$I$30,2,FALSE))</f>
        <v>-</v>
      </c>
      <c r="G23" s="100">
        <f>IF(Setup!$B$23="#",0,IF(NOT(F23="-"),VLOOKUP(F23,'AL QD'!$A$3:$E$34,3,FALSE),0))</f>
        <v>0</v>
      </c>
      <c r="H23" s="169" t="str">
        <f>IF(G23&gt;0,VLOOKUP(G23,'AL QD'!$C$3:$E$34,2,FALSE),"bye")</f>
        <v>bye</v>
      </c>
      <c r="I23" s="70" t="str">
        <f t="shared" si="0"/>
        <v/>
      </c>
      <c r="J23" s="103" t="str">
        <f>IF($G23&gt;0,VLOOKUP($G23,'AL QD'!$C$3:$E$34,3,FALSE),"")</f>
        <v/>
      </c>
      <c r="K23" s="73"/>
      <c r="L23" s="167" t="str">
        <f>UPPER(IF($A$2="R",IF(OR(K23=1,K23="a"),G23,IF(OR(K23=2,K23="b"),G24,"")),IF(OR(K23=1,K23="a"),I23,IF(OR(K23=2,K23="b"),I24,""))))</f>
        <v/>
      </c>
      <c r="M23" s="74"/>
      <c r="N23" s="173"/>
    </row>
    <row r="24" spans="1:14" ht="12.75">
      <c r="A24" s="104">
        <v>20</v>
      </c>
      <c r="B24" s="105"/>
      <c r="C24" s="106">
        <v>21</v>
      </c>
      <c r="D24" s="105">
        <f t="shared" si="2"/>
        <v>15</v>
      </c>
      <c r="E24" s="105">
        <f>IF($B$2&gt;=C24,1,0)</f>
        <v>1</v>
      </c>
      <c r="F24" s="104">
        <f>Setup!G8</f>
        <v>0</v>
      </c>
      <c r="G24" s="104">
        <f>IF(Setup!$B$23="#",0,IF(F24&gt;0,VLOOKUP(F24,'AL QD'!$A$3:$E$34,3,FALSE),0))</f>
        <v>0</v>
      </c>
      <c r="H24" s="170" t="str">
        <f>IF(G24&gt;0,VLOOKUP(G24,'AL QD'!$C$3:$E$34,2,FALSE),"bye")</f>
        <v>bye</v>
      </c>
      <c r="I24" s="458" t="str">
        <f t="shared" si="0"/>
        <v/>
      </c>
      <c r="J24" s="107" t="str">
        <f>IF($G24&gt;0,VLOOKUP($G24,'AL QD'!$C$3:$E$34,3,FALSE),"")</f>
        <v/>
      </c>
      <c r="K24" s="72"/>
      <c r="L24" s="172"/>
      <c r="M24" s="69"/>
      <c r="N24" s="174"/>
    </row>
    <row r="25" spans="1:14" ht="12.75">
      <c r="A25" s="100">
        <v>21</v>
      </c>
      <c r="B25" s="101"/>
      <c r="C25" s="108"/>
      <c r="D25" s="101">
        <f t="shared" si="2"/>
        <v>15</v>
      </c>
      <c r="E25" s="101">
        <v>0</v>
      </c>
      <c r="F25" s="110">
        <v>6</v>
      </c>
      <c r="G25" s="98">
        <f>IF(Setup!$B$23="#",0,IF(F25&gt;0,VLOOKUP(F25,'AL QD'!$A$3:$H$34,3,FALSE),0))</f>
        <v>0</v>
      </c>
      <c r="H25" s="168">
        <f>IF($G25&gt;0,VLOOKUP(G25,'AL QD'!$C$3:$H$34,2,FALSE),0)</f>
        <v>0</v>
      </c>
      <c r="I25" s="70" t="str">
        <f t="shared" si="0"/>
        <v/>
      </c>
      <c r="J25" s="109" t="str">
        <f>IF($G25&gt;0,VLOOKUP($G25,'AL QD'!$C$3:$E$34,3,FALSE),"")</f>
        <v/>
      </c>
      <c r="K25" s="73"/>
      <c r="L25" s="167" t="str">
        <f>UPPER(IF($A$2="R",IF(OR(K25=1,K25="a"),G25,IF(OR(K25=2,K25="b"),G26,"")),IF(OR(K25=1,K25="a"),I25,IF(OR(K25=2,K25="b"),I26,""))))</f>
        <v/>
      </c>
      <c r="M25" s="69"/>
      <c r="N25" s="174"/>
    </row>
    <row r="26" spans="1:14" ht="12.75">
      <c r="A26" s="100">
        <v>22</v>
      </c>
      <c r="B26" s="101">
        <f>IF(E26=0,27-D26,0)</f>
        <v>0</v>
      </c>
      <c r="C26" s="102">
        <v>6</v>
      </c>
      <c r="D26" s="101">
        <f t="shared" si="2"/>
        <v>16</v>
      </c>
      <c r="E26" s="101">
        <f>IF($B$2&gt;=C26,1,0)</f>
        <v>1</v>
      </c>
      <c r="F26" s="100" t="str">
        <f>IF($B$2&gt;=C26,"-",VLOOKUP($B26,Setup!$H$15:$I$30,2,FALSE))</f>
        <v>-</v>
      </c>
      <c r="G26" s="100">
        <f>IF(Setup!$B$23="#",0,IF(NOT(F26="-"),VLOOKUP(F26,'AL QD'!$A$3:$E$34,3,FALSE),0))</f>
        <v>0</v>
      </c>
      <c r="H26" s="169" t="str">
        <f>IF($G26&gt;0,VLOOKUP($G26,'AL QD'!$C$3:$E$34,2,FALSE),"bye")</f>
        <v>bye</v>
      </c>
      <c r="I26" s="70" t="str">
        <f t="shared" si="0"/>
        <v/>
      </c>
      <c r="J26" s="103" t="str">
        <f>IF($G26&gt;0,VLOOKUP($G26,'AL QD'!$C$3:$E$34,3,FALSE),"")</f>
        <v/>
      </c>
      <c r="K26" s="72"/>
      <c r="L26" s="171"/>
      <c r="M26" s="68"/>
      <c r="N26" s="167" t="str">
        <f>UPPER(IF($A$2="R",IF(OR(M26=1,M26="a"),L25,IF(OR(M26=2,M26="b"),L27,"")),IF(OR(M26=1,M26="a"),L25,IF(OR(M26=2,M26="b"),L27,""))))</f>
        <v/>
      </c>
    </row>
    <row r="27" spans="1:14" ht="12.75">
      <c r="A27" s="100">
        <v>23</v>
      </c>
      <c r="B27" s="101">
        <f>IF(E27=0,28-D27,0)</f>
        <v>0</v>
      </c>
      <c r="C27" s="102">
        <f>Setup!G9</f>
        <v>0</v>
      </c>
      <c r="D27" s="101">
        <f t="shared" si="2"/>
        <v>17</v>
      </c>
      <c r="E27" s="101">
        <f>IF($B$2&gt;=C27,1,0)</f>
        <v>1</v>
      </c>
      <c r="F27" s="100" t="str">
        <f>IF($B$2&gt;=C27,"-",VLOOKUP($B27,Setup!$H$15:$I$30,2,FALSE))</f>
        <v>-</v>
      </c>
      <c r="G27" s="100">
        <f>IF(Setup!$B$23="#",0,IF(NOT(F27="-"),VLOOKUP(F27,'AL QD'!$A$3:$E$34,3,FALSE),0))</f>
        <v>0</v>
      </c>
      <c r="H27" s="169" t="str">
        <f>IF(G27&gt;0,VLOOKUP(G27,'AL QD'!$C$3:$E$34,2,FALSE),"bye")</f>
        <v>bye</v>
      </c>
      <c r="I27" s="70" t="str">
        <f t="shared" si="0"/>
        <v/>
      </c>
      <c r="J27" s="103" t="str">
        <f>IF($G27&gt;0,VLOOKUP($G27,'AL QD'!$C$3:$E$34,3,FALSE),"")</f>
        <v/>
      </c>
      <c r="K27" s="73"/>
      <c r="L27" s="167" t="str">
        <f>UPPER(IF($A$2="R",IF(OR(K27=1,K27="a"),G27,IF(OR(K27=2,K27="b"),G28,"")),IF(OR(K27=1,K27="a"),I27,IF(OR(K27=2,K27="b"),I28,""))))</f>
        <v/>
      </c>
      <c r="M27" s="74"/>
      <c r="N27" s="173"/>
    </row>
    <row r="28" spans="1:14" ht="12.75">
      <c r="A28" s="104">
        <v>24</v>
      </c>
      <c r="B28" s="105"/>
      <c r="C28" s="106">
        <v>22</v>
      </c>
      <c r="D28" s="105">
        <f t="shared" si="2"/>
        <v>18</v>
      </c>
      <c r="E28" s="105">
        <f>IF($B$2&gt;=C28,1,0)</f>
        <v>1</v>
      </c>
      <c r="F28" s="104">
        <f>Setup!G9</f>
        <v>0</v>
      </c>
      <c r="G28" s="104">
        <f>IF(Setup!$B$23="#",0,IF(F28&gt;0,VLOOKUP(F28,'AL QD'!$A$3:$E$34,3,FALSE),0))</f>
        <v>0</v>
      </c>
      <c r="H28" s="170" t="str">
        <f>IF(G28&gt;0,VLOOKUP(G28,'AL QD'!$C$3:$E$34,2,FALSE),"bye")</f>
        <v>bye</v>
      </c>
      <c r="I28" s="70" t="str">
        <f t="shared" si="0"/>
        <v/>
      </c>
      <c r="J28" s="107" t="str">
        <f>IF($G28&gt;0,VLOOKUP($G28,'AL QD'!$C$3:$E$34,3,FALSE),"")</f>
        <v/>
      </c>
      <c r="K28" s="72"/>
      <c r="L28" s="173"/>
      <c r="N28" s="174"/>
    </row>
    <row r="29" spans="1:14" ht="12.75">
      <c r="A29" s="100">
        <v>25</v>
      </c>
      <c r="B29" s="101"/>
      <c r="C29" s="108"/>
      <c r="D29" s="101">
        <f t="shared" si="2"/>
        <v>18</v>
      </c>
      <c r="E29" s="101">
        <v>0</v>
      </c>
      <c r="F29" s="110">
        <v>7</v>
      </c>
      <c r="G29" s="98">
        <f>IF(Setup!$B$23="#",0,IF(F29&gt;0,VLOOKUP(F29,'AL QD'!$A$3:$H$34,3,FALSE),0))</f>
        <v>0</v>
      </c>
      <c r="H29" s="168">
        <f>IF($G29&gt;0,VLOOKUP(G29,'AL QD'!$C$3:$H$34,2,FALSE),0)</f>
        <v>0</v>
      </c>
      <c r="I29" s="427" t="str">
        <f t="shared" si="0"/>
        <v/>
      </c>
      <c r="J29" s="109" t="str">
        <f>IF($G29&gt;0,VLOOKUP($G29,'AL QD'!$C$3:$E$34,3,FALSE),"")</f>
        <v/>
      </c>
      <c r="K29" s="73"/>
      <c r="L29" s="167" t="str">
        <f>UPPER(IF($A$2="R",IF(OR(K29=1,K29="a"),G29,IF(OR(K29=2,K29="b"),G30,"")),IF(OR(K29=1,K29="a"),I29,IF(OR(K29=2,K29="b"),I30,""))))</f>
        <v/>
      </c>
      <c r="M29" s="69"/>
      <c r="N29" s="174"/>
    </row>
    <row r="30" spans="1:14" ht="12.75">
      <c r="A30" s="100">
        <v>26</v>
      </c>
      <c r="B30" s="101">
        <f>IF(E30=0,29-D30,0)</f>
        <v>0</v>
      </c>
      <c r="C30" s="102">
        <v>7</v>
      </c>
      <c r="D30" s="101">
        <f t="shared" si="2"/>
        <v>19</v>
      </c>
      <c r="E30" s="101">
        <f>IF($B$2&gt;=C30,1,0)</f>
        <v>1</v>
      </c>
      <c r="F30" s="100" t="str">
        <f>IF($B$2&gt;=C30,"-",VLOOKUP($B30,Setup!$H$15:$I$30,2,FALSE))</f>
        <v>-</v>
      </c>
      <c r="G30" s="100">
        <f>IF(Setup!$B$23="#",0,IF(NOT(F30="-"),VLOOKUP(F30,'AL QD'!$A$3:$E$34,3,FALSE),0))</f>
        <v>0</v>
      </c>
      <c r="H30" s="169" t="str">
        <f>IF($G30&gt;0,VLOOKUP($G30,'AL QD'!$C$3:$E$34,2,FALSE),"bye")</f>
        <v>bye</v>
      </c>
      <c r="I30" s="70" t="str">
        <f t="shared" si="0"/>
        <v/>
      </c>
      <c r="J30" s="103" t="str">
        <f>IF($G30&gt;0,VLOOKUP($G30,'AL QD'!$C$3:$E$34,3,FALSE),"")</f>
        <v/>
      </c>
      <c r="K30" s="72"/>
      <c r="L30" s="171"/>
      <c r="M30" s="68"/>
      <c r="N30" s="167" t="str">
        <f>UPPER(IF($A$2="R",IF(OR(M30=1,M30="a"),L29,IF(OR(M30=2,M30="b"),L31,"")),IF(OR(M30=1,M30="a"),L29,IF(OR(M30=2,M30="b"),L31,""))))</f>
        <v/>
      </c>
    </row>
    <row r="31" spans="1:14" ht="12.75">
      <c r="A31" s="100">
        <v>27</v>
      </c>
      <c r="B31" s="101">
        <f>IF(E31=0,30-D31,0)</f>
        <v>0</v>
      </c>
      <c r="C31" s="102">
        <f>Setup!G10</f>
        <v>10</v>
      </c>
      <c r="D31" s="101">
        <f t="shared" si="2"/>
        <v>20</v>
      </c>
      <c r="E31" s="101">
        <f>IF($B$2&gt;=C31,1,0)</f>
        <v>1</v>
      </c>
      <c r="F31" s="100" t="str">
        <f>IF($B$2&gt;=C31,"-",VLOOKUP($B31,Setup!$H$15:$I$30,2,FALSE))</f>
        <v>-</v>
      </c>
      <c r="G31" s="100">
        <f>IF(Setup!$B$23="#",0,IF(NOT(F31="-"),VLOOKUP(F31,'AL QD'!$A$3:$E$34,3,FALSE),0))</f>
        <v>0</v>
      </c>
      <c r="H31" s="169" t="str">
        <f>IF(G31&gt;0,VLOOKUP(G31,'AL QD'!$C$3:$E$34,2,FALSE),"bye")</f>
        <v>bye</v>
      </c>
      <c r="I31" s="70" t="str">
        <f t="shared" si="0"/>
        <v/>
      </c>
      <c r="J31" s="103" t="str">
        <f>IF($G31&gt;0,VLOOKUP($G31,'AL QD'!$C$3:$E$34,3,FALSE),"")</f>
        <v/>
      </c>
      <c r="K31" s="73"/>
      <c r="L31" s="167" t="str">
        <f>UPPER(IF($A$2="R",IF(OR(K31=1,K31="a"),G31,IF(OR(K31=2,K31="b"),G32,"")),IF(OR(K31=1,K31="a"),I31,IF(OR(K31=2,K31="b"),I32,""))))</f>
        <v/>
      </c>
      <c r="M31" s="74"/>
      <c r="N31" s="173"/>
    </row>
    <row r="32" spans="1:14" ht="12.75">
      <c r="A32" s="100">
        <v>28</v>
      </c>
      <c r="B32" s="105"/>
      <c r="C32" s="106">
        <v>23</v>
      </c>
      <c r="D32" s="105">
        <f t="shared" si="2"/>
        <v>21</v>
      </c>
      <c r="E32" s="105">
        <f>IF($B$2&gt;=C32,1,0)</f>
        <v>1</v>
      </c>
      <c r="F32" s="104">
        <f>Setup!G10</f>
        <v>10</v>
      </c>
      <c r="G32" s="100">
        <f>IF(Setup!$B$23="#",0,IF(F32&gt;0,VLOOKUP(F32,'AL QD'!$A$3:$E$34,3,FALSE),0))</f>
        <v>0</v>
      </c>
      <c r="H32" s="169" t="str">
        <f>IF(G32&gt;0,VLOOKUP(G32,'AL QD'!$C$3:$E$34,2,FALSE),"bye")</f>
        <v>bye</v>
      </c>
      <c r="I32" s="458" t="str">
        <f t="shared" si="0"/>
        <v/>
      </c>
      <c r="J32" s="103" t="str">
        <f>IF($G32&gt;0,VLOOKUP($G32,'AL QD'!$C$3:$E$34,3,FALSE),"")</f>
        <v/>
      </c>
      <c r="K32" s="58"/>
      <c r="L32" s="172"/>
      <c r="M32" s="69"/>
      <c r="N32" s="174"/>
    </row>
    <row r="33" spans="1:16" ht="12.75">
      <c r="A33" s="95">
        <v>29</v>
      </c>
      <c r="B33" s="101"/>
      <c r="C33" s="108"/>
      <c r="D33" s="101">
        <f t="shared" si="2"/>
        <v>21</v>
      </c>
      <c r="E33" s="101">
        <v>0</v>
      </c>
      <c r="F33" s="98">
        <v>8</v>
      </c>
      <c r="G33" s="98">
        <f>IF(Setup!$B$23="#",0,IF(F33&gt;0,VLOOKUP(F33,'AL QD'!$A$3:$H$34,3,FALSE),0))</f>
        <v>0</v>
      </c>
      <c r="H33" s="168">
        <f>IF($G33&gt;0,VLOOKUP(G33,'AL QD'!$C$3:$H$34,2,FALSE),0)</f>
        <v>0</v>
      </c>
      <c r="I33" s="70" t="str">
        <f t="shared" si="0"/>
        <v/>
      </c>
      <c r="J33" s="109" t="str">
        <f>IF($G33&gt;0,VLOOKUP($G33,'AL QD'!$C$3:$E$34,3,FALSE),"")</f>
        <v/>
      </c>
      <c r="K33" s="56"/>
      <c r="L33" s="167" t="str">
        <f>UPPER(IF($A$2="R",IF(OR(K33=1,K33="a"),G33,IF(OR(K33=2,K33="b"),G34,"")),IF(OR(K33=1,K33="a"),I33,IF(OR(K33=2,K33="b"),I34,""))))</f>
        <v/>
      </c>
      <c r="M33" s="69"/>
      <c r="N33" s="174"/>
    </row>
    <row r="34" spans="1:16" ht="12.75">
      <c r="A34" s="100">
        <v>30</v>
      </c>
      <c r="B34" s="101">
        <f>IF(E34=0,31-D34,0)</f>
        <v>0</v>
      </c>
      <c r="C34" s="102">
        <v>8</v>
      </c>
      <c r="D34" s="101">
        <f t="shared" si="2"/>
        <v>22</v>
      </c>
      <c r="E34" s="101">
        <f>IF($B$2&gt;=C34,1,0)</f>
        <v>1</v>
      </c>
      <c r="F34" s="100" t="str">
        <f>IF($B$2&gt;=C34,"-",VLOOKUP($B34,Setup!$H$15:$I$30,2,FALSE))</f>
        <v>-</v>
      </c>
      <c r="G34" s="100">
        <f>IF(Setup!$B$23="#",0,IF(NOT(F34="-"),VLOOKUP(F34,'AL QD'!$A$3:$E$34,3,FALSE),0))</f>
        <v>0</v>
      </c>
      <c r="H34" s="169" t="str">
        <f>IF($G34&gt;0,VLOOKUP($G34,'AL QD'!$C$3:$E$34,2,FALSE),"bye")</f>
        <v>bye</v>
      </c>
      <c r="I34" s="70" t="str">
        <f t="shared" si="0"/>
        <v/>
      </c>
      <c r="J34" s="103" t="str">
        <f>IF($G34&gt;0,VLOOKUP($G34,'AL QD'!$C$3:$E$34,3,FALSE),"")</f>
        <v/>
      </c>
      <c r="K34" s="72"/>
      <c r="L34" s="171"/>
      <c r="M34" s="68"/>
      <c r="N34" s="167" t="str">
        <f>UPPER(IF($A$2="R",IF(OR(M34=1,M34="a"),L33,IF(OR(M34=2,M34="b"),L35,"")),IF(OR(M34=1,M34="a"),L33,IF(OR(M34=2,M34="b"),L35,""))))</f>
        <v/>
      </c>
    </row>
    <row r="35" spans="1:16" ht="12.75">
      <c r="A35" s="100">
        <v>31</v>
      </c>
      <c r="B35" s="101">
        <f>IF(E35=0,32-D35,0)</f>
        <v>0</v>
      </c>
      <c r="C35" s="102">
        <f>Setup!G11</f>
        <v>9</v>
      </c>
      <c r="D35" s="101">
        <f t="shared" si="2"/>
        <v>23</v>
      </c>
      <c r="E35" s="101">
        <f>IF($B$2&gt;=C35,1,0)</f>
        <v>1</v>
      </c>
      <c r="F35" s="100" t="str">
        <f>IF($B$2&gt;=C35,"-",VLOOKUP($B35,Setup!$H$15:$I$30,2,FALSE))</f>
        <v>-</v>
      </c>
      <c r="G35" s="100">
        <f>IF(Setup!$B$23="#",0,IF(NOT(F35="-"),VLOOKUP(F35,'AL QD'!$A$3:$E$34,3,FALSE),0))</f>
        <v>0</v>
      </c>
      <c r="H35" s="169" t="str">
        <f>IF(G35&gt;0,VLOOKUP(G35,'AL QD'!$C$3:$E$34,2,FALSE),"bye")</f>
        <v>bye</v>
      </c>
      <c r="I35" s="70" t="str">
        <f t="shared" si="0"/>
        <v/>
      </c>
      <c r="J35" s="103" t="str">
        <f>IF($G35&gt;0,VLOOKUP($G35,'AL QD'!$C$3:$E$34,3,FALSE),"")</f>
        <v/>
      </c>
      <c r="K35" s="73"/>
      <c r="L35" s="167" t="str">
        <f>UPPER(IF($A$2="R",IF(OR(K35=1,K35="a"),G35,IF(OR(K35=2,K35="b"),G36,"")),IF(OR(K35=1,K35="a"),I35,IF(OR(K35=2,K35="b"),I36,""))))</f>
        <v/>
      </c>
      <c r="M35" s="74"/>
      <c r="N35" s="173"/>
    </row>
    <row r="36" spans="1:16" ht="12.75">
      <c r="A36" s="104">
        <v>32</v>
      </c>
      <c r="B36" s="105"/>
      <c r="C36" s="106">
        <v>24</v>
      </c>
      <c r="D36" s="105">
        <f t="shared" si="2"/>
        <v>24</v>
      </c>
      <c r="E36" s="105">
        <f>IF($B$2&gt;=C36,1,0)</f>
        <v>1</v>
      </c>
      <c r="F36" s="104">
        <f>Setup!G11</f>
        <v>9</v>
      </c>
      <c r="G36" s="104">
        <f>IF(Setup!$B$23="#",0,IF(F36&gt;0,VLOOKUP(F36,'AL QD'!$A$3:$E$34,3,FALSE),0))</f>
        <v>0</v>
      </c>
      <c r="H36" s="170" t="str">
        <f>IF(G36&gt;0,VLOOKUP(G36,'AL QD'!$C$3:$E$34,2,FALSE),"bye")</f>
        <v>bye</v>
      </c>
      <c r="I36" s="70" t="str">
        <f t="shared" si="0"/>
        <v/>
      </c>
      <c r="J36" s="107" t="str">
        <f>IF($G36&gt;0,VLOOKUP($G36,'AL QD'!$C$3:$E$34,3,FALSE),"")</f>
        <v/>
      </c>
      <c r="K36" s="72"/>
      <c r="L36" s="172"/>
      <c r="N36" s="70"/>
    </row>
    <row r="37" spans="1:16">
      <c r="I37" s="295"/>
    </row>
    <row r="39" spans="1:16">
      <c r="H39" s="559" t="s">
        <v>35</v>
      </c>
      <c r="I39" s="559"/>
      <c r="J39" s="559"/>
      <c r="N39" s="77" t="s">
        <v>36</v>
      </c>
      <c r="O39" s="78"/>
      <c r="P39" s="79"/>
    </row>
    <row r="40" spans="1:16">
      <c r="H40" s="80" t="str">
        <f>"1. " &amp; H5</f>
        <v>1. 0</v>
      </c>
      <c r="J40" s="80" t="str">
        <f>"5. " &amp; H21</f>
        <v>5. 0</v>
      </c>
      <c r="N40" s="557" t="str">
        <f>Setup!B10</f>
        <v>Μαρίνα Μουτσάκη</v>
      </c>
      <c r="O40" s="557"/>
      <c r="P40" s="557"/>
    </row>
    <row r="41" spans="1:16">
      <c r="H41" s="80" t="str">
        <f>"2. " &amp; H9</f>
        <v>2. 0</v>
      </c>
      <c r="J41" s="80" t="str">
        <f>"6. " &amp; H25</f>
        <v>6. 0</v>
      </c>
    </row>
    <row r="42" spans="1:16">
      <c r="H42" s="80" t="str">
        <f>"3. " &amp; H13</f>
        <v>3. 0</v>
      </c>
      <c r="J42" s="80" t="str">
        <f>"7. " &amp; H29</f>
        <v>7. 0</v>
      </c>
    </row>
    <row r="43" spans="1:16">
      <c r="H43" s="80" t="str">
        <f>"4. " &amp; H17</f>
        <v>4. 0</v>
      </c>
      <c r="J43" s="80" t="str">
        <f>"8. " &amp; H33</f>
        <v>8. 0</v>
      </c>
    </row>
    <row r="48" spans="1:16">
      <c r="H48" s="81"/>
    </row>
    <row r="49" spans="8:8">
      <c r="H49" s="81"/>
    </row>
    <row r="50" spans="8:8">
      <c r="H50" s="81"/>
    </row>
    <row r="51" spans="8:8">
      <c r="H51" s="82"/>
    </row>
    <row r="52" spans="8:8">
      <c r="H52" s="82"/>
    </row>
    <row r="53" spans="8:8">
      <c r="H53" s="82"/>
    </row>
    <row r="54" spans="8:8">
      <c r="H54" s="82"/>
    </row>
    <row r="55" spans="8:8">
      <c r="H55" s="82"/>
    </row>
    <row r="56" spans="8:8">
      <c r="H56" s="82"/>
    </row>
    <row r="57" spans="8:8">
      <c r="H57" s="82"/>
    </row>
    <row r="58" spans="8:8">
      <c r="H58" s="82"/>
    </row>
    <row r="59" spans="8:8">
      <c r="H59" s="83" t="s">
        <v>43</v>
      </c>
    </row>
    <row r="60" spans="8:8">
      <c r="H60" s="84" t="str">
        <f>IF(Setup!$B$16&gt;0,I5,"")</f>
        <v/>
      </c>
    </row>
    <row r="61" spans="8:8">
      <c r="H61" s="84" t="str">
        <f>IF(Setup!$B$16&gt;1,I9,"")</f>
        <v/>
      </c>
    </row>
    <row r="62" spans="8:8">
      <c r="H62" s="84" t="str">
        <f>IF(Setup!$B$16&gt;2,I13,"")</f>
        <v/>
      </c>
    </row>
    <row r="63" spans="8:8">
      <c r="H63" s="84" t="str">
        <f>IF(Setup!$B$16&gt;3,I17,"")</f>
        <v/>
      </c>
    </row>
    <row r="64" spans="8:8">
      <c r="H64" s="84" t="str">
        <f>IF(Setup!$B$16&gt;4,I21,"")</f>
        <v/>
      </c>
    </row>
    <row r="65" spans="8:8">
      <c r="H65" s="84" t="str">
        <f>IF(Setup!$B$16&gt;5,I25,"")</f>
        <v/>
      </c>
    </row>
    <row r="66" spans="8:8">
      <c r="H66" s="84" t="str">
        <f>IF(Setup!$B$16&gt;6,I29,"")</f>
        <v/>
      </c>
    </row>
    <row r="67" spans="8:8">
      <c r="H67" s="85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6" priority="29">
      <formula>MATCH(L5,$H$60:$H$67,0)</formula>
    </cfRule>
  </conditionalFormatting>
  <conditionalFormatting sqref="L7">
    <cfRule type="expression" dxfId="25" priority="28">
      <formula>MATCH(L7,$H$60:$H$67,0)</formula>
    </cfRule>
  </conditionalFormatting>
  <conditionalFormatting sqref="L9">
    <cfRule type="expression" dxfId="24" priority="27">
      <formula>MATCH(L9,$H$60:$H$67,0)</formula>
    </cfRule>
  </conditionalFormatting>
  <conditionalFormatting sqref="L11">
    <cfRule type="expression" dxfId="23" priority="26">
      <formula>MATCH(L11,$H$60:$H$67,0)</formula>
    </cfRule>
  </conditionalFormatting>
  <conditionalFormatting sqref="L13">
    <cfRule type="expression" dxfId="22" priority="25">
      <formula>MATCH(L13,$H$60:$H$67,0)</formula>
    </cfRule>
  </conditionalFormatting>
  <conditionalFormatting sqref="L15">
    <cfRule type="expression" dxfId="21" priority="24">
      <formula>MATCH(L15,$H$60:$H$67,0)</formula>
    </cfRule>
  </conditionalFormatting>
  <conditionalFormatting sqref="L17">
    <cfRule type="expression" dxfId="20" priority="23">
      <formula>MATCH(L17,$H$60:$H$67,0)</formula>
    </cfRule>
  </conditionalFormatting>
  <conditionalFormatting sqref="L19">
    <cfRule type="expression" dxfId="19" priority="22">
      <formula>MATCH(L19,$H$60:$H$67,0)</formula>
    </cfRule>
  </conditionalFormatting>
  <conditionalFormatting sqref="L21">
    <cfRule type="expression" dxfId="18" priority="21">
      <formula>MATCH(L21,$H$60:$H$67,0)</formula>
    </cfRule>
  </conditionalFormatting>
  <conditionalFormatting sqref="L23">
    <cfRule type="expression" dxfId="17" priority="20">
      <formula>MATCH(L23,$H$60:$H$67,0)</formula>
    </cfRule>
  </conditionalFormatting>
  <conditionalFormatting sqref="L25">
    <cfRule type="expression" dxfId="16" priority="19">
      <formula>MATCH(L25,$H$60:$H$67,0)</formula>
    </cfRule>
  </conditionalFormatting>
  <conditionalFormatting sqref="L27">
    <cfRule type="expression" dxfId="15" priority="18">
      <formula>MATCH(L27,$H$60:$H$67,0)</formula>
    </cfRule>
  </conditionalFormatting>
  <conditionalFormatting sqref="L29">
    <cfRule type="expression" dxfId="14" priority="17">
      <formula>MATCH(L29,$H$60:$H$67,0)</formula>
    </cfRule>
  </conditionalFormatting>
  <conditionalFormatting sqref="L31">
    <cfRule type="expression" dxfId="13" priority="16">
      <formula>MATCH(L31,$H$60:$H$67,0)</formula>
    </cfRule>
  </conditionalFormatting>
  <conditionalFormatting sqref="L33">
    <cfRule type="expression" dxfId="12" priority="15">
      <formula>MATCH(L33,$H$60:$H$67,0)</formula>
    </cfRule>
  </conditionalFormatting>
  <conditionalFormatting sqref="L35">
    <cfRule type="expression" dxfId="11" priority="14">
      <formula>MATCH(L35,$H$60:$H$67,0)</formula>
    </cfRule>
  </conditionalFormatting>
  <conditionalFormatting sqref="N34">
    <cfRule type="expression" dxfId="10" priority="13">
      <formula>MATCH(N34,$H$60:$H$67,0)</formula>
    </cfRule>
  </conditionalFormatting>
  <conditionalFormatting sqref="N30">
    <cfRule type="expression" dxfId="9" priority="12">
      <formula>MATCH(N30,$H$60:$H$67,0)</formula>
    </cfRule>
  </conditionalFormatting>
  <conditionalFormatting sqref="N26">
    <cfRule type="expression" dxfId="8" priority="11">
      <formula>MATCH(N26,$H$60:$H$67,0)</formula>
    </cfRule>
  </conditionalFormatting>
  <conditionalFormatting sqref="N22">
    <cfRule type="expression" dxfId="7" priority="10">
      <formula>MATCH(N22,$H$60:$H$67,0)</formula>
    </cfRule>
  </conditionalFormatting>
  <conditionalFormatting sqref="N18">
    <cfRule type="expression" dxfId="6" priority="9">
      <formula>MATCH(N18,$H$60:$H$67,0)</formula>
    </cfRule>
  </conditionalFormatting>
  <conditionalFormatting sqref="N14">
    <cfRule type="expression" dxfId="5" priority="8">
      <formula>MATCH(N14,$H$60:$H$67,0)</formula>
    </cfRule>
  </conditionalFormatting>
  <conditionalFormatting sqref="N10">
    <cfRule type="expression" dxfId="4" priority="7">
      <formula>MATCH(N10,$H$60:$H$67,0)</formula>
    </cfRule>
  </conditionalFormatting>
  <conditionalFormatting sqref="N6">
    <cfRule type="expression" dxfId="3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>
    <oddFooter>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zoomScaleNormal="100" workbookViewId="0">
      <pane ySplit="1" topLeftCell="A20" activePane="bottomLeft" state="frozen"/>
      <selection activeCell="B3" sqref="B3"/>
      <selection pane="bottomLeft" activeCell="N4" sqref="N4"/>
    </sheetView>
  </sheetViews>
  <sheetFormatPr defaultColWidth="8.85546875" defaultRowHeight="11.25"/>
  <cols>
    <col min="1" max="1" width="2.42578125" style="82" bestFit="1" customWidth="1"/>
    <col min="2" max="2" width="2.28515625" style="82" hidden="1" customWidth="1"/>
    <col min="3" max="3" width="6" style="113" hidden="1" customWidth="1"/>
    <col min="4" max="4" width="5.28515625" style="114" hidden="1" customWidth="1"/>
    <col min="5" max="5" width="4.7109375" style="114" hidden="1" customWidth="1"/>
    <col min="6" max="6" width="3.5703125" style="113" customWidth="1"/>
    <col min="7" max="7" width="4.5703125" style="113" customWidth="1"/>
    <col min="8" max="8" width="3.7109375" style="114" bestFit="1" customWidth="1"/>
    <col min="9" max="9" width="6.85546875" style="115" bestFit="1" customWidth="1"/>
    <col min="10" max="10" width="37.28515625" style="82" bestFit="1" customWidth="1"/>
    <col min="11" max="11" width="11.7109375" style="82" hidden="1" customWidth="1"/>
    <col min="12" max="12" width="22.28515625" style="82" bestFit="1" customWidth="1"/>
    <col min="13" max="13" width="1.42578125" style="66" bestFit="1" customWidth="1"/>
    <col min="14" max="14" width="15.7109375" style="82" customWidth="1"/>
    <col min="15" max="15" width="1.42578125" style="120" bestFit="1" customWidth="1"/>
    <col min="16" max="16" width="15.7109375" style="82" customWidth="1"/>
    <col min="17" max="17" width="1.42578125" style="120" bestFit="1" customWidth="1"/>
    <col min="18" max="18" width="15.7109375" style="81" customWidth="1"/>
    <col min="19" max="19" width="1.42578125" style="118" bestFit="1" customWidth="1"/>
    <col min="20" max="20" width="15.7109375" style="81" customWidth="1"/>
    <col min="21" max="21" width="8.85546875" style="81"/>
    <col min="22" max="23" width="8.85546875" style="82"/>
    <col min="24" max="24" width="4.7109375" style="82" hidden="1" customWidth="1"/>
    <col min="25" max="25" width="24.28515625" style="82" hidden="1" customWidth="1"/>
    <col min="26" max="26" width="1.28515625" style="82" hidden="1" customWidth="1"/>
    <col min="27" max="30" width="4.7109375" style="82" hidden="1" customWidth="1"/>
    <col min="31" max="16384" width="8.85546875" style="82"/>
  </cols>
  <sheetData>
    <row r="1" spans="1:30" s="112" customFormat="1" ht="21" customHeight="1">
      <c r="A1" s="556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86"/>
      <c r="T1" s="183" t="str">
        <f>Setup!$B$7</f>
        <v>Κ14</v>
      </c>
      <c r="U1" s="111"/>
    </row>
    <row r="2" spans="1:30" s="65" customFormat="1">
      <c r="A2" s="297"/>
      <c r="B2" s="298">
        <f>Setup!B18</f>
        <v>22</v>
      </c>
      <c r="C2" s="298"/>
      <c r="D2" s="299"/>
      <c r="E2" s="299"/>
      <c r="F2" s="303"/>
      <c r="G2" s="301"/>
      <c r="H2" s="302"/>
      <c r="I2" s="301" t="str">
        <f>"p"&amp;VLOOKUP(Setup!$B$5,tmp!$J$14:$P$23,2,FALSE)</f>
        <v>p2,5</v>
      </c>
      <c r="J2" s="302"/>
      <c r="K2" s="302"/>
      <c r="L2" s="302"/>
      <c r="M2" s="301"/>
      <c r="N2" s="301" t="str">
        <f>"p"&amp;VLOOKUP(Setup!$B$5,tmp!$J$14:$P$23,3,FALSE)</f>
        <v>p4</v>
      </c>
      <c r="O2" s="302"/>
      <c r="P2" s="301" t="str">
        <f>"p"&amp;VLOOKUP(Setup!$B$5,tmp!$J$14:$P$23,4,FALSE)</f>
        <v>p5</v>
      </c>
      <c r="Q2" s="302"/>
      <c r="R2" s="301" t="str">
        <f>"p"&amp;VLOOKUP(Setup!$B$5,tmp!$J$14:$P$23,5,FALSE)</f>
        <v>p7,5</v>
      </c>
      <c r="S2" s="304"/>
      <c r="T2" s="301" t="str">
        <f>"p"&amp;VLOOKUP(Setup!$B$5,tmp!$J$14:$P$23,6,FALSE)&amp;"-"&amp;VLOOKUP(Setup!$B$5,tmp!$J$14:$P$23,7,FALSE)</f>
        <v>p12,5-15</v>
      </c>
      <c r="U2" s="214"/>
    </row>
    <row r="3" spans="1:30">
      <c r="A3" s="150"/>
      <c r="B3" s="150"/>
      <c r="C3" s="151"/>
      <c r="D3" s="152"/>
      <c r="E3" s="152"/>
      <c r="F3" s="151"/>
      <c r="G3" s="151"/>
      <c r="H3" s="152"/>
      <c r="I3" s="153"/>
      <c r="J3" s="558">
        <v>32</v>
      </c>
      <c r="K3" s="558"/>
      <c r="L3" s="558"/>
      <c r="M3" s="154"/>
      <c r="N3" s="155">
        <v>16</v>
      </c>
      <c r="O3" s="156"/>
      <c r="P3" s="157">
        <v>8</v>
      </c>
      <c r="Q3" s="158"/>
      <c r="R3" s="157">
        <v>4</v>
      </c>
      <c r="S3" s="158"/>
      <c r="T3" s="157" t="s">
        <v>37</v>
      </c>
    </row>
    <row r="4" spans="1:30" s="113" customFormat="1" ht="12" thickBot="1">
      <c r="A4" s="134" t="s">
        <v>9</v>
      </c>
      <c r="B4" s="135"/>
      <c r="C4" s="136" t="s">
        <v>25</v>
      </c>
      <c r="D4" s="136" t="s">
        <v>33</v>
      </c>
      <c r="E4" s="136" t="s">
        <v>34</v>
      </c>
      <c r="F4" s="134" t="s">
        <v>19</v>
      </c>
      <c r="G4" s="134" t="s">
        <v>10</v>
      </c>
      <c r="H4" s="134" t="s">
        <v>42</v>
      </c>
      <c r="I4" s="134" t="s">
        <v>73</v>
      </c>
      <c r="J4" s="137" t="s">
        <v>6</v>
      </c>
      <c r="K4" s="136" t="s">
        <v>28</v>
      </c>
      <c r="L4" s="137" t="s">
        <v>8</v>
      </c>
      <c r="M4" s="159"/>
      <c r="N4" s="151"/>
      <c r="O4" s="160"/>
      <c r="P4" s="151"/>
      <c r="Q4" s="160"/>
      <c r="R4" s="161"/>
      <c r="S4" s="162"/>
      <c r="T4" s="161"/>
      <c r="U4" s="116"/>
    </row>
    <row r="5" spans="1:30" ht="13.5" thickTop="1">
      <c r="A5" s="100">
        <v>1</v>
      </c>
      <c r="B5" s="138">
        <v>1</v>
      </c>
      <c r="C5" s="139"/>
      <c r="D5" s="140"/>
      <c r="E5" s="140">
        <v>0</v>
      </c>
      <c r="F5" s="71">
        <f>IF(NOT($G5="-"),VLOOKUP($G5,'AL MD'!$A$3:$E$34,2,FALSE),"")</f>
        <v>0</v>
      </c>
      <c r="G5" s="110">
        <f>VLOOKUP($B5,Setup!$Q$4:$R$35,2,FALSE)</f>
        <v>1</v>
      </c>
      <c r="H5" s="100">
        <f>IF($G5&gt;0,VLOOKUP($G5,'AL MD'!$A$3:$F$34,6,FALSE),0)</f>
        <v>126</v>
      </c>
      <c r="I5" s="110">
        <f>IF(Setup!$B$24="#",0,IF($G5&gt;0,VLOOKUP($G5,'AL MD'!$A$3:$E$34,3,FALSE),0))</f>
        <v>0</v>
      </c>
      <c r="J5" s="181" t="str">
        <f>IF($I5&gt;0,VLOOKUP($I5,'AL MD'!$C$3:$E$34,2,FALSE),"bye")</f>
        <v>bye</v>
      </c>
      <c r="K5" s="454" t="str">
        <f>IF(NOT(I5&gt;0),"", IF(ISERROR(FIND("-",J5)), LEFT(J5,FIND(" ",J5)-1),  IF(FIND("-",J5)&gt;FIND(" ",J5),LEFT(J5,FIND(" ",J5)-1),   LEFT(J5,FIND("-",J5)-1)    )))</f>
        <v/>
      </c>
      <c r="L5" s="141" t="str">
        <f>IF($I5&gt;0,VLOOKUP($I5,'AL MD'!$C$3:$E$34,3,FALSE),"")</f>
        <v/>
      </c>
      <c r="M5" s="68"/>
      <c r="N5" s="167" t="str">
        <f>UPPER(IF($A$2="R",IF(OR(M5=1,M5="a"),I5,IF(OR(M5=2,M5="b"),I6,"")),IF(OR(M5=1,M5="1"),K5,IF(OR(M5=2,M5="b"),K6,""))))</f>
        <v/>
      </c>
      <c r="O5" s="118"/>
      <c r="P5" s="119"/>
      <c r="R5" s="119"/>
      <c r="T5" s="119"/>
      <c r="X5" s="280">
        <f>I5</f>
        <v>0</v>
      </c>
      <c r="Y5" s="280" t="str">
        <f>J5</f>
        <v>bye</v>
      </c>
      <c r="Z5" s="281" t="s">
        <v>22</v>
      </c>
      <c r="AA5" s="282" t="str">
        <f>N5</f>
        <v/>
      </c>
      <c r="AB5" s="283"/>
      <c r="AC5" s="283"/>
      <c r="AD5" s="283"/>
    </row>
    <row r="6" spans="1:30" ht="12.75">
      <c r="A6" s="104">
        <v>2</v>
      </c>
      <c r="B6" s="139">
        <f>1-D6+8</f>
        <v>8</v>
      </c>
      <c r="C6" s="108">
        <f>B5</f>
        <v>1</v>
      </c>
      <c r="D6" s="101">
        <f>E6</f>
        <v>1</v>
      </c>
      <c r="E6" s="101">
        <f>IF($B$2&gt;=C6,1,0)</f>
        <v>1</v>
      </c>
      <c r="F6" s="75" t="str">
        <f>IF(NOT($G6="-"),VLOOKUP($G6,'AL MD'!$A$3:$E$34,2,FALSE),"")</f>
        <v/>
      </c>
      <c r="G6" s="104" t="str">
        <f>IF($B$2&gt;=C6,"-",VLOOKUP($B6,Setup!$Q$4:$R$35,2,FALSE))</f>
        <v>-</v>
      </c>
      <c r="H6" s="104">
        <f>IF(NOT($G6="-"),VLOOKUP($G6,'AL MD'!$A$3:$F$34,6,FALSE),0)</f>
        <v>0</v>
      </c>
      <c r="I6" s="104">
        <f>IF(Setup!$B$24="#",0,IF(NOT($G6="-"),VLOOKUP($G6,'AL MD'!$A$3:$E$34,3,FALSE),0))</f>
        <v>0</v>
      </c>
      <c r="J6" s="170" t="str">
        <f>IF($I6&gt;0,VLOOKUP($I6,'AL MD'!$C$3:$E$34,2,FALSE),"bye")</f>
        <v>bye</v>
      </c>
      <c r="K6" s="455" t="str">
        <f t="shared" ref="K6:K36" si="0">IF(NOT(I6&gt;0),"", IF(ISERROR(FIND("-",J6)), LEFT(J6,FIND(" ",J6)-1),  IF(FIND("-",J6)&gt;FIND(" ",J6),LEFT(J6,FIND(" ",J6)-1),   LEFT(J6,FIND("-",J6)-1)    )))</f>
        <v/>
      </c>
      <c r="L6" s="107" t="str">
        <f>IF($I6&gt;0,VLOOKUP($I6,'AL MD'!$C$3:$E$34,3,FALSE),"")</f>
        <v/>
      </c>
      <c r="M6" s="74"/>
      <c r="N6" s="171"/>
      <c r="O6" s="68"/>
      <c r="P6" s="167" t="str">
        <f>UPPER(IF($A$2="R",IF(OR(O6=1,O6="a"),N5,IF(OR(O6=2,O6="b"),N7,"")),IF(OR(O6=1,O6="a"),N5,IF(OR(O6=2,O6="b"),N7,""))))</f>
        <v/>
      </c>
      <c r="Q6" s="118"/>
      <c r="R6" s="119"/>
      <c r="T6" s="119"/>
      <c r="X6" s="283">
        <f t="shared" ref="X6:Y35" si="1">I6</f>
        <v>0</v>
      </c>
      <c r="Y6" s="284" t="str">
        <f t="shared" si="1"/>
        <v>bye</v>
      </c>
      <c r="Z6" s="285"/>
      <c r="AA6" s="286">
        <f t="shared" ref="AA6:AA36" si="2">N6</f>
        <v>0</v>
      </c>
      <c r="AB6" s="282" t="str">
        <f t="shared" ref="AB6:AB35" si="3">P6</f>
        <v/>
      </c>
      <c r="AC6" s="283"/>
      <c r="AD6" s="283"/>
    </row>
    <row r="7" spans="1:30" ht="12.75">
      <c r="A7" s="95">
        <v>3</v>
      </c>
      <c r="B7" s="139">
        <f>2-D7+8</f>
        <v>9</v>
      </c>
      <c r="C7" s="108"/>
      <c r="D7" s="101">
        <f>D6+E7</f>
        <v>1</v>
      </c>
      <c r="E7" s="101">
        <v>0</v>
      </c>
      <c r="F7" s="67">
        <f>IF(NOT($G7="-"),VLOOKUP($G7,'AL MD'!$A$3:$E$34,2,FALSE),"")</f>
        <v>0</v>
      </c>
      <c r="G7" s="95">
        <f>VLOOKUP($B7,Setup!$Q$4:$R$35,2,FALSE)</f>
        <v>10</v>
      </c>
      <c r="H7" s="95">
        <f>IF($G7&gt;0,VLOOKUP($G7,'AL MD'!$A$3:$F$34,6,FALSE),0)</f>
        <v>0</v>
      </c>
      <c r="I7" s="95">
        <f>IF(Setup!$B$24="#",0,IF($G7&gt;0,VLOOKUP($G7,'AL MD'!$A$3:$E$34,3,FALSE),0))</f>
        <v>0</v>
      </c>
      <c r="J7" s="179" t="str">
        <f>IF($I7&gt;0,VLOOKUP($I7,'AL MD'!$C$3:$E$34,2,FALSE),"bye")</f>
        <v>bye</v>
      </c>
      <c r="K7" s="295" t="str">
        <f t="shared" si="0"/>
        <v/>
      </c>
      <c r="L7" s="142" t="str">
        <f>IF($I7&gt;0,VLOOKUP($I7,'AL MD'!$C$3:$E$34,3,FALSE),"")</f>
        <v/>
      </c>
      <c r="M7" s="68"/>
      <c r="N7" s="167" t="str">
        <f>UPPER(IF($A$2="R",IF(OR(M7=1,M7="a"),I7,IF(OR(M7=2,M7="b"),I8,"")),IF(OR(M7=1,M7="a"),K7,IF(OR(M7=2,M7="b"),K8,""))))</f>
        <v/>
      </c>
      <c r="O7" s="74"/>
      <c r="P7" s="171"/>
      <c r="Q7" s="118"/>
      <c r="R7" s="119"/>
      <c r="T7" s="119"/>
      <c r="X7" s="280">
        <f t="shared" si="1"/>
        <v>0</v>
      </c>
      <c r="Y7" s="283" t="str">
        <f t="shared" si="1"/>
        <v>bye</v>
      </c>
      <c r="Z7" s="281"/>
      <c r="AA7" s="287" t="str">
        <f t="shared" si="2"/>
        <v/>
      </c>
      <c r="AB7" s="288">
        <f t="shared" si="3"/>
        <v>0</v>
      </c>
      <c r="AC7" s="283"/>
      <c r="AD7" s="283"/>
    </row>
    <row r="8" spans="1:30" ht="12.75">
      <c r="A8" s="104">
        <v>4</v>
      </c>
      <c r="B8" s="139">
        <f>3-D8+8</f>
        <v>9</v>
      </c>
      <c r="C8" s="108">
        <v>15</v>
      </c>
      <c r="D8" s="101">
        <f t="shared" ref="D8:D36" si="4">D7+E8</f>
        <v>2</v>
      </c>
      <c r="E8" s="101">
        <f>IF($B$2&gt;=C8,1,0)</f>
        <v>1</v>
      </c>
      <c r="F8" s="75" t="str">
        <f>IF(NOT($G8="-"),VLOOKUP($G8,'AL MD'!$A$3:$E$34,2,FALSE),"")</f>
        <v/>
      </c>
      <c r="G8" s="104" t="str">
        <f>IF($B$2&gt;=C8,"-",VLOOKUP($B8,Setup!$Q$4:$R$35,2,FALSE))</f>
        <v>-</v>
      </c>
      <c r="H8" s="104">
        <f>IF(NOT($G8="-"),VLOOKUP($G8,'AL MD'!$A$3:$F$34,6,FALSE),0)</f>
        <v>0</v>
      </c>
      <c r="I8" s="104">
        <f>IF(Setup!$B$24="#",0,IF(NOT($G8="-"),VLOOKUP($G8,'AL MD'!$A$3:$E$34,3,FALSE),0))</f>
        <v>0</v>
      </c>
      <c r="J8" s="170" t="str">
        <f>IF($I8&gt;0,VLOOKUP($I8,'AL MD'!$C$3:$E$34,2,FALSE),"bye")</f>
        <v>bye</v>
      </c>
      <c r="K8" s="455" t="str">
        <f t="shared" si="0"/>
        <v/>
      </c>
      <c r="L8" s="107" t="str">
        <f>IF($I8&gt;0,VLOOKUP($I8,'AL MD'!$C$3:$E$34,3,FALSE),"")</f>
        <v/>
      </c>
      <c r="M8" s="74"/>
      <c r="N8" s="172"/>
      <c r="O8" s="118"/>
      <c r="P8" s="182"/>
      <c r="Q8" s="73"/>
      <c r="R8" s="167" t="str">
        <f>UPPER(IF($A$2="R",IF(OR(Q8=1,Q8="a"),P6,IF(OR(Q8=2,Q8="b"),P10,"")),IF(OR(Q8=1,Q8="a"),P6,IF(OR(Q8=2,Q8="b"),P10,""))))</f>
        <v/>
      </c>
      <c r="T8" s="119"/>
      <c r="X8" s="283">
        <f t="shared" si="1"/>
        <v>0</v>
      </c>
      <c r="Y8" s="284" t="str">
        <f t="shared" si="1"/>
        <v>bye</v>
      </c>
      <c r="Z8" s="289"/>
      <c r="AA8" s="286">
        <f t="shared" si="2"/>
        <v>0</v>
      </c>
      <c r="AB8" s="286"/>
      <c r="AC8" s="282" t="str">
        <f>R8</f>
        <v/>
      </c>
      <c r="AD8" s="283"/>
    </row>
    <row r="9" spans="1:30" ht="12.75">
      <c r="A9" s="95">
        <v>5</v>
      </c>
      <c r="B9" s="139">
        <f>4-D9+8</f>
        <v>10</v>
      </c>
      <c r="C9" s="108"/>
      <c r="D9" s="101">
        <f t="shared" si="4"/>
        <v>2</v>
      </c>
      <c r="E9" s="101">
        <v>0</v>
      </c>
      <c r="F9" s="67">
        <f>IF(NOT($G9="-"),VLOOKUP($G9,'AL MD'!$A$3:$E$34,2,FALSE),"")</f>
        <v>0</v>
      </c>
      <c r="G9" s="95">
        <f>VLOOKUP($B9,Setup!$Q$4:$R$35,2,FALSE)</f>
        <v>9</v>
      </c>
      <c r="H9" s="95">
        <f>IF($G9&gt;0,VLOOKUP($G9,'AL MD'!$A$3:$F$34,6,FALSE),0)</f>
        <v>31</v>
      </c>
      <c r="I9" s="95">
        <f>IF(Setup!$B$24="#",0,IF($G9&gt;0,VLOOKUP($G9,'AL MD'!$A$3:$E$34,3,FALSE),0))</f>
        <v>0</v>
      </c>
      <c r="J9" s="179" t="str">
        <f>IF($I9&gt;0,VLOOKUP($I9,'AL MD'!$C$3:$E$34,2,FALSE),"bye")</f>
        <v>bye</v>
      </c>
      <c r="K9" s="295" t="str">
        <f t="shared" si="0"/>
        <v/>
      </c>
      <c r="L9" s="142" t="str">
        <f>IF($I9&gt;0,VLOOKUP($I9,'AL MD'!$C$3:$E$34,3,FALSE),"")</f>
        <v/>
      </c>
      <c r="M9" s="121"/>
      <c r="N9" s="167" t="str">
        <f>UPPER(IF($A$2="R",IF(OR(M9=1,M9="a"),I9,IF(OR(M9=2,M9="b"),I10,"")),IF(OR(M9=1,M9="a"),K9,IF(OR(M9=2,M9="b"),K10,""))))</f>
        <v/>
      </c>
      <c r="O9" s="118"/>
      <c r="P9" s="182"/>
      <c r="Q9" s="118"/>
      <c r="R9" s="171"/>
      <c r="T9" s="119"/>
      <c r="X9" s="280">
        <f t="shared" si="1"/>
        <v>0</v>
      </c>
      <c r="Y9" s="283" t="str">
        <f t="shared" si="1"/>
        <v>bye</v>
      </c>
      <c r="Z9" s="285"/>
      <c r="AA9" s="286" t="str">
        <f t="shared" si="2"/>
        <v/>
      </c>
      <c r="AB9" s="286"/>
      <c r="AC9" s="288">
        <f>R9</f>
        <v>0</v>
      </c>
      <c r="AD9" s="283"/>
    </row>
    <row r="10" spans="1:30" ht="12.75">
      <c r="A10" s="104">
        <v>6</v>
      </c>
      <c r="B10" s="139">
        <f>5-D10+8</f>
        <v>10</v>
      </c>
      <c r="C10" s="108">
        <v>9</v>
      </c>
      <c r="D10" s="101">
        <f t="shared" si="4"/>
        <v>3</v>
      </c>
      <c r="E10" s="101">
        <f>IF($B$2&gt;=C10,1,0)</f>
        <v>1</v>
      </c>
      <c r="F10" s="75" t="str">
        <f>IF(NOT($G10="-"),VLOOKUP($G10,'AL MD'!$A$3:$E$34,2,FALSE),"")</f>
        <v/>
      </c>
      <c r="G10" s="104" t="str">
        <f>IF($B$2&gt;=C10,"-",VLOOKUP($B10,Setup!$Q$4:$R$35,2,FALSE))</f>
        <v>-</v>
      </c>
      <c r="H10" s="104">
        <f>IF(NOT($G10="-"),VLOOKUP($G10,'AL MD'!$A$3:$F$34,6,FALSE),0)</f>
        <v>0</v>
      </c>
      <c r="I10" s="104">
        <f>IF(Setup!$B$24="#",0,IF(NOT($G10="-"),VLOOKUP($G10,'AL MD'!$A$3:$E$34,3,FALSE),0))</f>
        <v>0</v>
      </c>
      <c r="J10" s="170" t="str">
        <f>IF($I10&gt;0,VLOOKUP($I10,'AL MD'!$C$3:$E$34,2,FALSE),"bye")</f>
        <v>bye</v>
      </c>
      <c r="K10" s="455" t="str">
        <f t="shared" si="0"/>
        <v/>
      </c>
      <c r="L10" s="107" t="str">
        <f>IF($I10&gt;0,VLOOKUP($I10,'AL MD'!$C$3:$E$34,3,FALSE),"")</f>
        <v/>
      </c>
      <c r="M10" s="74"/>
      <c r="N10" s="171"/>
      <c r="O10" s="68"/>
      <c r="P10" s="167" t="str">
        <f>UPPER(IF($A$2="R",IF(OR(O10=1,O10="a"),N9,IF(OR(O10=2,O10="b"),N11,"")),IF(OR(O10=1,O10="a"),N9,IF(OR(O10=2,O10="b"),N11,""))))</f>
        <v/>
      </c>
      <c r="Q10" s="122"/>
      <c r="R10" s="182"/>
      <c r="T10" s="119"/>
      <c r="X10" s="284">
        <f t="shared" si="1"/>
        <v>0</v>
      </c>
      <c r="Y10" s="284" t="str">
        <f t="shared" si="1"/>
        <v>bye</v>
      </c>
      <c r="Z10" s="285"/>
      <c r="AA10" s="288">
        <f t="shared" si="2"/>
        <v>0</v>
      </c>
      <c r="AB10" s="287" t="str">
        <f t="shared" si="3"/>
        <v/>
      </c>
      <c r="AC10" s="286"/>
      <c r="AD10" s="283"/>
    </row>
    <row r="11" spans="1:30" ht="12.75">
      <c r="A11" s="95">
        <v>7</v>
      </c>
      <c r="B11" s="139">
        <f>6-D11+8</f>
        <v>10</v>
      </c>
      <c r="C11" s="108">
        <f>B12</f>
        <v>5</v>
      </c>
      <c r="D11" s="101">
        <f t="shared" si="4"/>
        <v>4</v>
      </c>
      <c r="E11" s="101">
        <f>IF($B$2&gt;=C11,1,0)</f>
        <v>1</v>
      </c>
      <c r="F11" s="67" t="str">
        <f>IF(NOT($G11="-"),VLOOKUP($G11,'AL MD'!$A$3:$E$34,2,FALSE),"")</f>
        <v/>
      </c>
      <c r="G11" s="95" t="str">
        <f>IF($B$2&gt;=C11,"-",VLOOKUP($B11,Setup!$Q$4:$R$35,2,FALSE))</f>
        <v>-</v>
      </c>
      <c r="H11" s="95">
        <f>IF(NOT($G11="-"),VLOOKUP($G11,'AL MD'!$A$3:$F$34,6,FALSE),0)</f>
        <v>0</v>
      </c>
      <c r="I11" s="95">
        <f>IF(Setup!$B$24="#",0,IF(NOT($G11="-"),VLOOKUP($G11,'AL MD'!$A$3:$E$34,3,FALSE),0))</f>
        <v>0</v>
      </c>
      <c r="J11" s="179" t="str">
        <f>IF($I11&gt;0,VLOOKUP($I11,'AL MD'!$C$3:$E$34,2,FALSE),"bye")</f>
        <v>bye</v>
      </c>
      <c r="K11" s="295" t="str">
        <f t="shared" si="0"/>
        <v/>
      </c>
      <c r="L11" s="142" t="str">
        <f>IF($I11&gt;0,VLOOKUP($I11,'AL MD'!$C$3:$E$34,3,FALSE),"")</f>
        <v/>
      </c>
      <c r="M11" s="68"/>
      <c r="N11" s="167" t="str">
        <f>UPPER(IF($A$2="R",IF(OR(M11=1,M11="a"),I11,IF(OR(M11=2,M11="b"),I12,"")),IF(OR(M11=1,M11="a"),K11,IF(OR(M11=2,M11="b"),K12,""))))</f>
        <v/>
      </c>
      <c r="O11" s="74"/>
      <c r="P11" s="173"/>
      <c r="Q11" s="118"/>
      <c r="R11" s="182"/>
      <c r="S11" s="122"/>
      <c r="T11" s="119"/>
      <c r="X11" s="283">
        <f t="shared" si="1"/>
        <v>0</v>
      </c>
      <c r="Y11" s="283" t="str">
        <f t="shared" si="1"/>
        <v>bye</v>
      </c>
      <c r="Z11" s="281"/>
      <c r="AA11" s="286" t="str">
        <f t="shared" si="2"/>
        <v/>
      </c>
      <c r="AB11" s="286">
        <f t="shared" si="3"/>
        <v>0</v>
      </c>
      <c r="AC11" s="286"/>
      <c r="AD11" s="283"/>
    </row>
    <row r="12" spans="1:30" ht="13.5" thickBot="1">
      <c r="A12" s="143">
        <v>8</v>
      </c>
      <c r="B12" s="144">
        <f>VALUE(Setup!L7)</f>
        <v>5</v>
      </c>
      <c r="C12" s="145"/>
      <c r="D12" s="146">
        <f t="shared" si="4"/>
        <v>4</v>
      </c>
      <c r="E12" s="146">
        <v>0</v>
      </c>
      <c r="F12" s="123">
        <f>IF(NOT($G12="-"),VLOOKUP($G12,'AL MD'!$A$3:$E$34,2,FALSE),"")</f>
        <v>0</v>
      </c>
      <c r="G12" s="147">
        <f>VLOOKUP($B12,Setup!$Q$4:$R$35,2,FALSE)</f>
        <v>5</v>
      </c>
      <c r="H12" s="143">
        <f>IF($G12&gt;0,VLOOKUP($G12,'AL MD'!$A$3:$F$34,6,FALSE),0)</f>
        <v>73</v>
      </c>
      <c r="I12" s="147">
        <f>IF(Setup!$B$24="#",0,IF($G12&gt;0,VLOOKUP($G12,'AL MD'!$A$3:$E$34,3,FALSE),0))</f>
        <v>0</v>
      </c>
      <c r="J12" s="180" t="str">
        <f>IF($I12&gt;0,VLOOKUP($I12,'AL MD'!$C$3:$E$34,2,FALSE),"bye")</f>
        <v>bye</v>
      </c>
      <c r="K12" s="456" t="str">
        <f t="shared" si="0"/>
        <v/>
      </c>
      <c r="L12" s="148" t="str">
        <f>IF($I12&gt;0,VLOOKUP($I12,'AL MD'!$C$3:$E$34,3,FALSE),"")</f>
        <v/>
      </c>
      <c r="M12" s="74"/>
      <c r="N12" s="173"/>
      <c r="P12" s="174"/>
      <c r="R12" s="174"/>
      <c r="S12" s="68"/>
      <c r="T12" s="186" t="str">
        <f>UPPER(IF($A$2="R",IF(OR(S12=1,S12="a"),R8,IF(OR(S12=2,S12="b"),R16,"")),IF(OR(S12=1,S12="a"),R8,IF(OR(S12=2,S12="b"),R16,""))))</f>
        <v/>
      </c>
      <c r="X12" s="284">
        <f t="shared" si="1"/>
        <v>0</v>
      </c>
      <c r="Y12" s="284" t="str">
        <f t="shared" si="1"/>
        <v>bye</v>
      </c>
      <c r="Z12" s="285"/>
      <c r="AA12" s="288">
        <f t="shared" si="2"/>
        <v>0</v>
      </c>
      <c r="AB12" s="286"/>
      <c r="AC12" s="286"/>
      <c r="AD12" s="290" t="str">
        <f>T12</f>
        <v/>
      </c>
    </row>
    <row r="13" spans="1:30" ht="13.5" thickTop="1">
      <c r="A13" s="100">
        <v>9</v>
      </c>
      <c r="B13" s="139">
        <f>VALUE(Setup!L4)</f>
        <v>4</v>
      </c>
      <c r="C13" s="108"/>
      <c r="D13" s="101">
        <f t="shared" si="4"/>
        <v>4</v>
      </c>
      <c r="E13" s="101">
        <v>0</v>
      </c>
      <c r="F13" s="71">
        <f>IF(NOT($G13="-"),VLOOKUP($G13,'AL MD'!$A$3:$E$34,2,FALSE),"")</f>
        <v>0</v>
      </c>
      <c r="G13" s="110">
        <f>VLOOKUP($B13,Setup!$Q$4:$R$35,2,FALSE)</f>
        <v>4</v>
      </c>
      <c r="H13" s="100">
        <f>IF($G13&gt;0,VLOOKUP($G13,'AL MD'!$A$3:$F$34,6,FALSE),0)</f>
        <v>81</v>
      </c>
      <c r="I13" s="110">
        <f>IF(Setup!$B$24="#",0,IF($G13&gt;0,VLOOKUP($G13,'AL MD'!$A$3:$E$34,3,FALSE),0))</f>
        <v>0</v>
      </c>
      <c r="J13" s="181" t="str">
        <f>IF($I13&gt;0,VLOOKUP($I13,'AL MD'!$C$3:$E$34,2,FALSE),"bye")</f>
        <v>bye</v>
      </c>
      <c r="K13" s="454" t="str">
        <f t="shared" si="0"/>
        <v/>
      </c>
      <c r="L13" s="141" t="str">
        <f>IF($I13&gt;0,VLOOKUP($I13,'AL MD'!$C$3:$E$34,3,FALSE),"")</f>
        <v/>
      </c>
      <c r="M13" s="68"/>
      <c r="N13" s="167" t="str">
        <f>UPPER(IF($A$2="R",IF(OR(M13=1,M13="a"),I13,IF(OR(M13=2,M13="b"),I14,"")),IF(OR(M13=1,M13="a"),K13,IF(OR(M13=2,M13="b"),K14,""))))</f>
        <v/>
      </c>
      <c r="O13" s="118"/>
      <c r="P13" s="174"/>
      <c r="R13" s="174"/>
      <c r="S13" s="122"/>
      <c r="T13" s="187"/>
      <c r="X13" s="283">
        <f t="shared" si="1"/>
        <v>0</v>
      </c>
      <c r="Y13" s="283" t="str">
        <f t="shared" si="1"/>
        <v>bye</v>
      </c>
      <c r="Z13" s="281"/>
      <c r="AA13" s="286" t="str">
        <f t="shared" si="2"/>
        <v/>
      </c>
      <c r="AB13" s="286"/>
      <c r="AC13" s="286"/>
      <c r="AD13" s="291"/>
    </row>
    <row r="14" spans="1:30" ht="12.75">
      <c r="A14" s="100">
        <v>10</v>
      </c>
      <c r="B14" s="139">
        <f>7-D14+8</f>
        <v>10</v>
      </c>
      <c r="C14" s="102">
        <f>B13</f>
        <v>4</v>
      </c>
      <c r="D14" s="101">
        <f t="shared" si="4"/>
        <v>5</v>
      </c>
      <c r="E14" s="101">
        <f>IF($B$2&gt;=C14,1,0)</f>
        <v>1</v>
      </c>
      <c r="F14" s="71" t="str">
        <f>IF(NOT($G14="-"),VLOOKUP($G14,'AL MD'!$A$3:$E$34,2,FALSE),"")</f>
        <v/>
      </c>
      <c r="G14" s="100" t="str">
        <f>IF($B$2&gt;=C14,"-",VLOOKUP($B14,Setup!$Q$4:$R$35,2,FALSE))</f>
        <v>-</v>
      </c>
      <c r="H14" s="100">
        <f>IF(NOT($G14="-"),VLOOKUP($G14,'AL MD'!$A$3:$F$34,6,FALSE),0)</f>
        <v>0</v>
      </c>
      <c r="I14" s="100">
        <f>IF(Setup!$B$24="#",0,IF(NOT($G14="-"),VLOOKUP($G14,'AL MD'!$A$3:$E$34,3,FALSE),0))</f>
        <v>0</v>
      </c>
      <c r="J14" s="169" t="str">
        <f>IF($I14&gt;0,VLOOKUP($I14,'AL MD'!$C$3:$E$34,2,FALSE),"bye")</f>
        <v>bye</v>
      </c>
      <c r="K14" s="454" t="str">
        <f t="shared" si="0"/>
        <v/>
      </c>
      <c r="L14" s="103" t="str">
        <f>IF($I14&gt;0,VLOOKUP($I14,'AL MD'!$C$3:$E$34,3,FALSE),"")</f>
        <v/>
      </c>
      <c r="M14" s="74"/>
      <c r="N14" s="171"/>
      <c r="O14" s="68"/>
      <c r="P14" s="167" t="str">
        <f>UPPER(IF($A$2="R",IF(OR(O14=1,O14="a"),N13,IF(OR(O14=2,O14="b"),N15,"")),IF(OR(O14=1,O14="a"),N13,IF(OR(O14=2,O14="b"),N15,""))))</f>
        <v/>
      </c>
      <c r="Q14" s="118"/>
      <c r="R14" s="174"/>
      <c r="S14" s="122"/>
      <c r="T14" s="273"/>
      <c r="X14" s="284">
        <f t="shared" si="1"/>
        <v>0</v>
      </c>
      <c r="Y14" s="284" t="str">
        <f t="shared" si="1"/>
        <v>bye</v>
      </c>
      <c r="Z14" s="285"/>
      <c r="AA14" s="288">
        <f t="shared" si="2"/>
        <v>0</v>
      </c>
      <c r="AB14" s="286" t="str">
        <f t="shared" si="3"/>
        <v/>
      </c>
      <c r="AC14" s="286"/>
      <c r="AD14" s="292"/>
    </row>
    <row r="15" spans="1:30" ht="12.75">
      <c r="A15" s="95">
        <v>11</v>
      </c>
      <c r="B15" s="139">
        <f>8-D15+8</f>
        <v>11</v>
      </c>
      <c r="C15" s="108"/>
      <c r="D15" s="101">
        <f t="shared" si="4"/>
        <v>5</v>
      </c>
      <c r="E15" s="101">
        <v>0</v>
      </c>
      <c r="F15" s="67">
        <f>IF(NOT($G15="-"),VLOOKUP($G15,'AL MD'!$A$3:$E$34,2,FALSE),"")</f>
        <v>0</v>
      </c>
      <c r="G15" s="95">
        <f>VLOOKUP($B15,Setup!$Q$4:$R$35,2,FALSE)</f>
        <v>14</v>
      </c>
      <c r="H15" s="95">
        <f>IF($G15&gt;0,VLOOKUP($G15,'AL MD'!$A$3:$F$34,6,FALSE),0)</f>
        <v>0</v>
      </c>
      <c r="I15" s="95">
        <f>IF(Setup!$B$24="#",0,IF($G15&gt;0,VLOOKUP($G15,'AL MD'!$A$3:$E$34,3,FALSE),0))</f>
        <v>0</v>
      </c>
      <c r="J15" s="179" t="str">
        <f>IF($I15&gt;0,VLOOKUP($I15,'AL MD'!$C$3:$E$34,2,FALSE),"bye")</f>
        <v>bye</v>
      </c>
      <c r="K15" s="295" t="str">
        <f t="shared" si="0"/>
        <v/>
      </c>
      <c r="L15" s="142" t="str">
        <f>IF($I15&gt;0,VLOOKUP($I15,'AL MD'!$C$3:$E$34,3,FALSE),"")</f>
        <v/>
      </c>
      <c r="M15" s="68"/>
      <c r="N15" s="167" t="str">
        <f>UPPER(IF($A$2="R",IF(OR(M15=1,M15="a"),I15,IF(OR(M15=2,M15="b"),I16,"")),IF(OR(M15=1,M15="a"),K15,IF(OR(M15=2,M15="b"),K16,""))))</f>
        <v/>
      </c>
      <c r="O15" s="74"/>
      <c r="P15" s="171"/>
      <c r="Q15" s="118"/>
      <c r="R15" s="174"/>
      <c r="S15" s="122"/>
      <c r="T15" s="273"/>
      <c r="X15" s="283">
        <f t="shared" si="1"/>
        <v>0</v>
      </c>
      <c r="Y15" s="283" t="str">
        <f t="shared" si="1"/>
        <v>bye</v>
      </c>
      <c r="Z15" s="281"/>
      <c r="AA15" s="286" t="str">
        <f t="shared" si="2"/>
        <v/>
      </c>
      <c r="AB15" s="288">
        <f t="shared" si="3"/>
        <v>0</v>
      </c>
      <c r="AC15" s="286"/>
      <c r="AD15" s="292"/>
    </row>
    <row r="16" spans="1:30" ht="12.75">
      <c r="A16" s="104">
        <v>12</v>
      </c>
      <c r="B16" s="139">
        <f>9-D16+8</f>
        <v>11</v>
      </c>
      <c r="C16" s="108">
        <v>13</v>
      </c>
      <c r="D16" s="101">
        <f t="shared" si="4"/>
        <v>6</v>
      </c>
      <c r="E16" s="101">
        <f>IF($B$2&gt;=C16,1,0)</f>
        <v>1</v>
      </c>
      <c r="F16" s="75" t="str">
        <f>IF(NOT($G16="-"),VLOOKUP($G16,'AL MD'!$A$3:$E$34,2,FALSE),"")</f>
        <v/>
      </c>
      <c r="G16" s="104" t="str">
        <f>IF($B$2&gt;=C16,"-",VLOOKUP($B16,Setup!$Q$4:$R$35,2,FALSE))</f>
        <v>-</v>
      </c>
      <c r="H16" s="104">
        <f>IF(NOT($G16="-"),VLOOKUP($G16,'AL MD'!$A$3:$F$34,6,FALSE),0)</f>
        <v>0</v>
      </c>
      <c r="I16" s="104">
        <f>IF(Setup!$B$24="#",0,IF(NOT($G16="-"),VLOOKUP($G16,'AL MD'!$A$3:$E$34,3,FALSE),0))</f>
        <v>0</v>
      </c>
      <c r="J16" s="170" t="str">
        <f>IF($I16&gt;0,VLOOKUP($I16,'AL MD'!$C$3:$E$34,2,FALSE),"bye")</f>
        <v>bye</v>
      </c>
      <c r="K16" s="455" t="str">
        <f t="shared" si="0"/>
        <v/>
      </c>
      <c r="L16" s="107" t="str">
        <f>IF($I16&gt;0,VLOOKUP($I16,'AL MD'!$C$3:$E$34,3,FALSE),"")</f>
        <v/>
      </c>
      <c r="M16" s="124"/>
      <c r="N16" s="173"/>
      <c r="O16" s="118"/>
      <c r="P16" s="182"/>
      <c r="Q16" s="73"/>
      <c r="R16" s="167" t="str">
        <f>UPPER(IF($A$2="R",IF(OR(Q16=1,Q16="a"),P14,IF(OR(Q16=2,Q16="b"),P18,"")),IF(OR(Q16=1,Q16="a"),P14,IF(OR(Q16=2,Q16="b"),P18,""))))</f>
        <v/>
      </c>
      <c r="S16" s="122"/>
      <c r="T16" s="273"/>
      <c r="X16" s="284">
        <f t="shared" si="1"/>
        <v>0</v>
      </c>
      <c r="Y16" s="284" t="str">
        <f t="shared" si="1"/>
        <v>bye</v>
      </c>
      <c r="Z16" s="285"/>
      <c r="AA16" s="288">
        <f t="shared" si="2"/>
        <v>0</v>
      </c>
      <c r="AB16" s="286"/>
      <c r="AC16" s="287" t="str">
        <f>R16</f>
        <v/>
      </c>
      <c r="AD16" s="292"/>
    </row>
    <row r="17" spans="1:30" ht="12.75">
      <c r="A17" s="100">
        <v>13</v>
      </c>
      <c r="B17" s="139">
        <f>10-D17+8</f>
        <v>12</v>
      </c>
      <c r="C17" s="108"/>
      <c r="D17" s="101">
        <f t="shared" si="4"/>
        <v>6</v>
      </c>
      <c r="E17" s="101">
        <v>0</v>
      </c>
      <c r="F17" s="71">
        <f>IF(NOT($G17="-"),VLOOKUP($G17,'AL MD'!$A$3:$E$34,2,FALSE),"")</f>
        <v>0</v>
      </c>
      <c r="G17" s="100">
        <f>VLOOKUP($B17,Setup!$Q$4:$R$35,2,FALSE)</f>
        <v>16</v>
      </c>
      <c r="H17" s="100">
        <f>IF($G17&gt;0,VLOOKUP($G17,'AL MD'!$A$3:$F$34,6,FALSE),0)</f>
        <v>0</v>
      </c>
      <c r="I17" s="100">
        <f>IF(Setup!$B$24="#",0,IF($G17&gt;0,VLOOKUP($G17,'AL MD'!$A$3:$E$34,3,FALSE),0))</f>
        <v>0</v>
      </c>
      <c r="J17" s="169" t="str">
        <f>IF($I17&gt;0,VLOOKUP($I17,'AL MD'!$C$3:$E$34,2,FALSE),"bye")</f>
        <v>bye</v>
      </c>
      <c r="K17" s="454" t="str">
        <f t="shared" si="0"/>
        <v/>
      </c>
      <c r="L17" s="103" t="str">
        <f>IF($I17&gt;0,VLOOKUP($I17,'AL MD'!$C$3:$E$34,3,FALSE),"")</f>
        <v/>
      </c>
      <c r="M17" s="68"/>
      <c r="N17" s="167" t="str">
        <f>UPPER(IF($A$2="R",IF(OR(M17=1,M17="a"),I17,IF(OR(M17=2,M17="b"),I18,"")),IF(OR(M17=1,M17="a"),K17,IF(OR(M17=2,M17="b"),K18,""))))</f>
        <v/>
      </c>
      <c r="O17" s="118"/>
      <c r="P17" s="182"/>
      <c r="Q17" s="118"/>
      <c r="R17" s="173"/>
      <c r="T17" s="273"/>
      <c r="X17" s="283">
        <f t="shared" si="1"/>
        <v>0</v>
      </c>
      <c r="Y17" s="283" t="str">
        <f t="shared" si="1"/>
        <v>bye</v>
      </c>
      <c r="Z17" s="281"/>
      <c r="AA17" s="286" t="str">
        <f t="shared" si="2"/>
        <v/>
      </c>
      <c r="AB17" s="286"/>
      <c r="AC17" s="283">
        <f>R17</f>
        <v>0</v>
      </c>
      <c r="AD17" s="292"/>
    </row>
    <row r="18" spans="1:30" ht="12.75">
      <c r="A18" s="100">
        <v>14</v>
      </c>
      <c r="B18" s="139">
        <f>11-D18+8</f>
        <v>12</v>
      </c>
      <c r="C18" s="108">
        <v>11</v>
      </c>
      <c r="D18" s="101">
        <f t="shared" si="4"/>
        <v>7</v>
      </c>
      <c r="E18" s="101">
        <f>IF($B$2&gt;=C18,1,0)</f>
        <v>1</v>
      </c>
      <c r="F18" s="71" t="str">
        <f>IF(NOT($G18="-"),VLOOKUP($G18,'AL MD'!$A$3:$E$34,2,FALSE),"")</f>
        <v/>
      </c>
      <c r="G18" s="100" t="str">
        <f>IF($B$2&gt;=C18,"-",VLOOKUP($B18,Setup!$Q$4:$R$35,2,FALSE))</f>
        <v>-</v>
      </c>
      <c r="H18" s="100">
        <f>IF(NOT($G18="-"),VLOOKUP($G18,'AL MD'!$A$3:$F$34,6,FALSE),0)</f>
        <v>0</v>
      </c>
      <c r="I18" s="100">
        <f>IF(Setup!$B$24="#",0,IF(NOT($G18="-"),VLOOKUP($G18,'AL MD'!$A$3:$E$34,3,FALSE),0))</f>
        <v>0</v>
      </c>
      <c r="J18" s="169" t="str">
        <f>IF($I18&gt;0,VLOOKUP($I18,'AL MD'!$C$3:$E$34,2,FALSE),"bye")</f>
        <v>bye</v>
      </c>
      <c r="K18" s="454" t="str">
        <f t="shared" si="0"/>
        <v/>
      </c>
      <c r="L18" s="103" t="str">
        <f>IF($I18&gt;0,VLOOKUP($I18,'AL MD'!$C$3:$E$34,3,FALSE),"")</f>
        <v/>
      </c>
      <c r="M18" s="74"/>
      <c r="N18" s="171"/>
      <c r="O18" s="68"/>
      <c r="P18" s="167" t="str">
        <f>UPPER(IF($A$2="R",IF(OR(O18=1,O18="a"),N17,IF(OR(O18=2,O18="b"),N19,"")),IF(OR(O18=1,O18="a"),N17,IF(OR(O18=2,O18="b"),N19,""))))</f>
        <v/>
      </c>
      <c r="Q18" s="122"/>
      <c r="R18" s="174"/>
      <c r="T18" s="273"/>
      <c r="X18" s="284">
        <f t="shared" si="1"/>
        <v>0</v>
      </c>
      <c r="Y18" s="284" t="str">
        <f t="shared" si="1"/>
        <v>bye</v>
      </c>
      <c r="Z18" s="285"/>
      <c r="AA18" s="288">
        <f t="shared" si="2"/>
        <v>0</v>
      </c>
      <c r="AB18" s="286" t="str">
        <f t="shared" si="3"/>
        <v/>
      </c>
      <c r="AC18" s="283"/>
      <c r="AD18" s="292"/>
    </row>
    <row r="19" spans="1:30" ht="12.75">
      <c r="A19" s="95">
        <v>15</v>
      </c>
      <c r="B19" s="139">
        <f>12-D19+8</f>
        <v>12</v>
      </c>
      <c r="C19" s="108">
        <f>B20</f>
        <v>6</v>
      </c>
      <c r="D19" s="101">
        <f t="shared" si="4"/>
        <v>8</v>
      </c>
      <c r="E19" s="101">
        <f>IF($B$2&gt;=C19,1,0)</f>
        <v>1</v>
      </c>
      <c r="F19" s="67" t="str">
        <f>IF(NOT($G19="-"),VLOOKUP($G19,'AL MD'!$A$3:$E$34,2,FALSE),"")</f>
        <v/>
      </c>
      <c r="G19" s="95" t="str">
        <f>IF($B$2&gt;=C19,"-",VLOOKUP($B19,Setup!$Q$4:$R$35,2,FALSE))</f>
        <v>-</v>
      </c>
      <c r="H19" s="95">
        <f>IF(NOT($G19="-"),VLOOKUP($G19,'AL MD'!$A$3:$F$34,6,FALSE),0)</f>
        <v>0</v>
      </c>
      <c r="I19" s="95">
        <f>IF(Setup!$B$24="#",0,IF(NOT($G19="-"),VLOOKUP($G19,'AL MD'!$A$3:$E$34,3,FALSE),0))</f>
        <v>0</v>
      </c>
      <c r="J19" s="179" t="str">
        <f>IF($I19&gt;0,VLOOKUP($I19,'AL MD'!$C$3:$E$34,2,FALSE),"bye")</f>
        <v>bye</v>
      </c>
      <c r="K19" s="295" t="str">
        <f t="shared" si="0"/>
        <v/>
      </c>
      <c r="L19" s="142" t="str">
        <f>IF($I19&gt;0,VLOOKUP($I19,'AL MD'!$C$3:$E$34,3,FALSE),"")</f>
        <v/>
      </c>
      <c r="M19" s="68"/>
      <c r="N19" s="167" t="str">
        <f>UPPER(IF($A$2="R",IF(OR(M19=1,M19="a"),I19,IF(OR(M19=2,M19="b"),I20,"")),IF(OR(M19=1,M19="a"),K19,IF(OR(M19=2,M19="b"),K20,""))))</f>
        <v/>
      </c>
      <c r="O19" s="74"/>
      <c r="P19" s="173"/>
      <c r="Q19" s="118"/>
      <c r="R19" s="174"/>
      <c r="T19" s="273"/>
      <c r="X19" s="283">
        <f t="shared" si="1"/>
        <v>0</v>
      </c>
      <c r="Y19" s="283" t="str">
        <f t="shared" si="1"/>
        <v>bye</v>
      </c>
      <c r="Z19" s="281"/>
      <c r="AA19" s="286" t="str">
        <f t="shared" si="2"/>
        <v/>
      </c>
      <c r="AB19" s="288">
        <f t="shared" si="3"/>
        <v>0</v>
      </c>
      <c r="AC19" s="283"/>
      <c r="AD19" s="292"/>
    </row>
    <row r="20" spans="1:30" ht="13.5" thickBot="1">
      <c r="A20" s="143">
        <v>16</v>
      </c>
      <c r="B20" s="149">
        <f>VALUE(Setup!L8)</f>
        <v>6</v>
      </c>
      <c r="C20" s="145"/>
      <c r="D20" s="146">
        <f t="shared" si="4"/>
        <v>8</v>
      </c>
      <c r="E20" s="146">
        <v>0</v>
      </c>
      <c r="F20" s="123">
        <f>IF(NOT($G20="-"),VLOOKUP($G20,'AL MD'!$A$3:$E$34,2,FALSE),"")</f>
        <v>0</v>
      </c>
      <c r="G20" s="147">
        <f>VLOOKUP($B20,Setup!$Q$4:$R$35,2,FALSE)</f>
        <v>6</v>
      </c>
      <c r="H20" s="143">
        <f>IF($G20&gt;0,VLOOKUP($G20,'AL MD'!$A$3:$F$34,6,FALSE),0)</f>
        <v>43</v>
      </c>
      <c r="I20" s="147">
        <f>IF(Setup!$B$24="#",0,IF($G20&gt;0,VLOOKUP($G20,'AL MD'!$A$3:$E$34,3,FALSE),0))</f>
        <v>0</v>
      </c>
      <c r="J20" s="180" t="str">
        <f>IF($I20&gt;0,VLOOKUP($I20,'AL MD'!$C$3:$E$34,2,FALSE),"bye")</f>
        <v>bye</v>
      </c>
      <c r="K20" s="456" t="str">
        <f t="shared" si="0"/>
        <v/>
      </c>
      <c r="L20" s="148" t="str">
        <f>IF($I20&gt;0,VLOOKUP($I20,'AL MD'!$C$3:$E$34,3,FALSE),"")</f>
        <v/>
      </c>
      <c r="M20" s="74"/>
      <c r="N20" s="173"/>
      <c r="O20" s="118"/>
      <c r="P20" s="174"/>
      <c r="Q20" s="118"/>
      <c r="R20" s="174"/>
      <c r="S20" s="56"/>
      <c r="T20" s="189" t="str">
        <f>UPPER(IF($A$2="R",IF(OR(S20=1,S20="a"),T12,IF(OR(S20=2,S20="b"),T28,"")),IF(OR(S20=1,S20="a"),T12,IF(OR(S20=2,S20="b"),T28,""))))</f>
        <v/>
      </c>
      <c r="X20" s="284">
        <f t="shared" si="1"/>
        <v>0</v>
      </c>
      <c r="Y20" s="284" t="str">
        <f t="shared" si="1"/>
        <v>bye</v>
      </c>
      <c r="Z20" s="289"/>
      <c r="AA20" s="288">
        <f t="shared" si="2"/>
        <v>0</v>
      </c>
      <c r="AB20" s="286"/>
      <c r="AC20" s="283"/>
      <c r="AD20" s="293" t="str">
        <f t="shared" ref="AD20:AD29" si="5">T20</f>
        <v/>
      </c>
    </row>
    <row r="21" spans="1:30" ht="13.5" thickTop="1">
      <c r="A21" s="100">
        <v>17</v>
      </c>
      <c r="B21" s="138">
        <f>VALUE(Setup!L9)</f>
        <v>8</v>
      </c>
      <c r="C21" s="108"/>
      <c r="D21" s="101">
        <f t="shared" si="4"/>
        <v>8</v>
      </c>
      <c r="E21" s="101">
        <v>0</v>
      </c>
      <c r="F21" s="71">
        <f>IF(NOT($G21="-"),VLOOKUP($G21,'AL MD'!$A$3:$E$34,2,FALSE),"")</f>
        <v>0</v>
      </c>
      <c r="G21" s="110">
        <f>VLOOKUP($B21,Setup!$Q$4:$R$35,2,FALSE)</f>
        <v>8</v>
      </c>
      <c r="H21" s="100">
        <f>IF($G21&gt;0,VLOOKUP($G21,'AL MD'!$A$3:$F$34,6,FALSE),0)</f>
        <v>33.5</v>
      </c>
      <c r="I21" s="110">
        <f>IF(Setup!$B$24="#",0,IF($G21&gt;0,VLOOKUP($G21,'AL MD'!$A$3:$E$34,3,FALSE),0))</f>
        <v>0</v>
      </c>
      <c r="J21" s="181" t="str">
        <f>IF($I21&gt;0,VLOOKUP($I21,'AL MD'!$C$3:$E$34,2,FALSE),"bye")</f>
        <v>bye</v>
      </c>
      <c r="K21" s="454" t="str">
        <f t="shared" si="0"/>
        <v/>
      </c>
      <c r="L21" s="141" t="str">
        <f>IF($I21&gt;0,VLOOKUP($I21,'AL MD'!$C$3:$E$34,3,FALSE),"")</f>
        <v/>
      </c>
      <c r="M21" s="68"/>
      <c r="N21" s="167" t="str">
        <f>UPPER(IF($A$2="R",IF(OR(M21=1,M21="a"),I21,IF(OR(M21=2,M21="b"),I22,"")),IF(OR(M21=1,M21="a"),K21,IF(OR(M21=2,M21="b"),K22,""))))</f>
        <v/>
      </c>
      <c r="O21" s="118"/>
      <c r="P21" s="174"/>
      <c r="R21" s="174"/>
      <c r="S21" s="184"/>
      <c r="T21" s="190"/>
      <c r="X21" s="283">
        <f t="shared" si="1"/>
        <v>0</v>
      </c>
      <c r="Y21" s="283" t="str">
        <f t="shared" si="1"/>
        <v>bye</v>
      </c>
      <c r="Z21" s="285"/>
      <c r="AA21" s="287" t="str">
        <f t="shared" si="2"/>
        <v/>
      </c>
      <c r="AB21" s="286"/>
      <c r="AC21" s="283"/>
      <c r="AD21" s="292">
        <f t="shared" si="5"/>
        <v>0</v>
      </c>
    </row>
    <row r="22" spans="1:30" ht="12.75">
      <c r="A22" s="104">
        <v>18</v>
      </c>
      <c r="B22" s="139">
        <f>13-D22+8</f>
        <v>12</v>
      </c>
      <c r="C22" s="108">
        <f>B21</f>
        <v>8</v>
      </c>
      <c r="D22" s="101">
        <f t="shared" si="4"/>
        <v>9</v>
      </c>
      <c r="E22" s="101">
        <f>IF($B$2&gt;=C22,1,0)</f>
        <v>1</v>
      </c>
      <c r="F22" s="75" t="str">
        <f>IF(NOT($G22="-"),VLOOKUP($G22,'AL MD'!$A$3:$E$34,2,FALSE),"")</f>
        <v/>
      </c>
      <c r="G22" s="104" t="str">
        <f>IF($B$2&gt;=C22,"-",VLOOKUP($B22,Setup!$Q$4:$R$35,2,FALSE))</f>
        <v>-</v>
      </c>
      <c r="H22" s="104">
        <f>IF(NOT($G22="-"),VLOOKUP($G22,'AL MD'!$A$3:$F$34,6,FALSE),0)</f>
        <v>0</v>
      </c>
      <c r="I22" s="104">
        <f>IF(Setup!$B$24="#",0,IF(NOT($G22="-"),VLOOKUP($G22,'AL MD'!$A$3:$E$34,3,FALSE),0))</f>
        <v>0</v>
      </c>
      <c r="J22" s="170" t="str">
        <f>IF($I22&gt;0,VLOOKUP($I22,'AL MD'!$C$3:$E$34,2,FALSE),"bye")</f>
        <v>bye</v>
      </c>
      <c r="K22" s="455" t="str">
        <f t="shared" si="0"/>
        <v/>
      </c>
      <c r="L22" s="107" t="str">
        <f>IF($I22&gt;0,VLOOKUP($I22,'AL MD'!$C$3:$E$34,3,FALSE),"")</f>
        <v/>
      </c>
      <c r="M22" s="74"/>
      <c r="N22" s="171"/>
      <c r="O22" s="68"/>
      <c r="P22" s="167" t="str">
        <f>UPPER(IF($A$2="R",IF(OR(O22=1,O22="a"),N21,IF(OR(O22=2,O22="b"),N23,"")),IF(OR(O22=1,O22="a"),N21,IF(OR(O22=2,O22="b"),N23,""))))</f>
        <v/>
      </c>
      <c r="Q22" s="118"/>
      <c r="R22" s="174"/>
      <c r="T22" s="273"/>
      <c r="X22" s="284">
        <f t="shared" si="1"/>
        <v>0</v>
      </c>
      <c r="Y22" s="284" t="str">
        <f t="shared" si="1"/>
        <v>bye</v>
      </c>
      <c r="Z22" s="289"/>
      <c r="AA22" s="286">
        <f t="shared" si="2"/>
        <v>0</v>
      </c>
      <c r="AB22" s="286" t="str">
        <f t="shared" si="3"/>
        <v/>
      </c>
      <c r="AC22" s="283"/>
      <c r="AD22" s="292"/>
    </row>
    <row r="23" spans="1:30" ht="12.75">
      <c r="A23" s="95">
        <v>19</v>
      </c>
      <c r="B23" s="139">
        <f>14-D23+8</f>
        <v>13</v>
      </c>
      <c r="C23" s="108"/>
      <c r="D23" s="101">
        <f t="shared" si="4"/>
        <v>9</v>
      </c>
      <c r="E23" s="101">
        <v>0</v>
      </c>
      <c r="F23" s="67">
        <f>IF(NOT($G23="-"),VLOOKUP($G23,'AL MD'!$A$3:$E$34,2,FALSE),"")</f>
        <v>0</v>
      </c>
      <c r="G23" s="95">
        <f>VLOOKUP($B23,Setup!$Q$4:$R$35,2,FALSE)</f>
        <v>12</v>
      </c>
      <c r="H23" s="95">
        <f>IF($G23&gt;0,VLOOKUP($G23,'AL MD'!$A$3:$F$34,6,FALSE),0)</f>
        <v>0</v>
      </c>
      <c r="I23" s="95">
        <f>IF(Setup!$B$24="#",0,IF($G23&gt;0,VLOOKUP($G23,'AL MD'!$A$3:$E$34,3,FALSE),0))</f>
        <v>0</v>
      </c>
      <c r="J23" s="179" t="str">
        <f>IF($I23&gt;0,VLOOKUP($I23,'AL MD'!$C$3:$E$34,2,FALSE),"bye")</f>
        <v>bye</v>
      </c>
      <c r="K23" s="295" t="str">
        <f t="shared" si="0"/>
        <v/>
      </c>
      <c r="L23" s="142" t="str">
        <f>IF($I23&gt;0,VLOOKUP($I23,'AL MD'!$C$3:$E$34,3,FALSE),"")</f>
        <v/>
      </c>
      <c r="M23" s="68"/>
      <c r="N23" s="167" t="str">
        <f>UPPER(IF($A$2="R",IF(OR(M23=1,M23="a"),I23,IF(OR(M23=2,M23="b"),I24,"")),IF(OR(M23=1,M23="a"),K23,IF(OR(M23=2,M23="b"),K24,""))))</f>
        <v/>
      </c>
      <c r="O23" s="74"/>
      <c r="P23" s="171"/>
      <c r="Q23" s="118"/>
      <c r="R23" s="174"/>
      <c r="T23" s="273"/>
      <c r="X23" s="283">
        <f t="shared" si="1"/>
        <v>0</v>
      </c>
      <c r="Y23" s="283" t="str">
        <f t="shared" si="1"/>
        <v>bye</v>
      </c>
      <c r="Z23" s="285"/>
      <c r="AA23" s="286" t="str">
        <f t="shared" si="2"/>
        <v/>
      </c>
      <c r="AB23" s="288">
        <f t="shared" si="3"/>
        <v>0</v>
      </c>
      <c r="AC23" s="283"/>
      <c r="AD23" s="292"/>
    </row>
    <row r="24" spans="1:30" ht="12.75">
      <c r="A24" s="104">
        <v>20</v>
      </c>
      <c r="B24" s="139">
        <f>15-D24+8</f>
        <v>13</v>
      </c>
      <c r="C24" s="108">
        <v>12</v>
      </c>
      <c r="D24" s="101">
        <f t="shared" si="4"/>
        <v>10</v>
      </c>
      <c r="E24" s="101">
        <f>IF($B$2&gt;=C24,1,0)</f>
        <v>1</v>
      </c>
      <c r="F24" s="75" t="str">
        <f>IF(NOT($G24="-"),VLOOKUP($G24,'AL MD'!$A$3:$E$34,2,FALSE),"")</f>
        <v/>
      </c>
      <c r="G24" s="104" t="str">
        <f>IF($B$2&gt;=C24,"-",VLOOKUP($B24,Setup!$Q$4:$R$35,2,FALSE))</f>
        <v>-</v>
      </c>
      <c r="H24" s="104">
        <f>IF(NOT($G24="-"),VLOOKUP($G24,'AL MD'!$A$3:$F$34,6,FALSE),0)</f>
        <v>0</v>
      </c>
      <c r="I24" s="104">
        <f>IF(Setup!$B$24="#",0,IF(NOT($G24="-"),VLOOKUP($G24,'AL MD'!$A$3:$E$34,3,FALSE),0))</f>
        <v>0</v>
      </c>
      <c r="J24" s="170" t="str">
        <f>IF($I24&gt;0,VLOOKUP($I24,'AL MD'!$C$3:$E$34,2,FALSE),"bye")</f>
        <v>bye</v>
      </c>
      <c r="K24" s="455" t="str">
        <f t="shared" si="0"/>
        <v/>
      </c>
      <c r="L24" s="107" t="str">
        <f>IF($I24&gt;0,VLOOKUP($I24,'AL MD'!$C$3:$E$34,3,FALSE),"")</f>
        <v/>
      </c>
      <c r="M24" s="74"/>
      <c r="N24" s="172"/>
      <c r="O24" s="118"/>
      <c r="P24" s="182"/>
      <c r="Q24" s="68"/>
      <c r="R24" s="167" t="str">
        <f>UPPER(IF($A$2="R",IF(OR(Q24=1,Q24="a"),P22,IF(OR(Q24=2,Q24="b"),P26,"")),IF(OR(Q24=1,Q24="a"),P22,IF(OR(Q24=2,Q24="b"),P26,""))))</f>
        <v/>
      </c>
      <c r="T24" s="273"/>
      <c r="X24" s="284">
        <f t="shared" si="1"/>
        <v>0</v>
      </c>
      <c r="Y24" s="284" t="str">
        <f t="shared" si="1"/>
        <v>bye</v>
      </c>
      <c r="Z24" s="285"/>
      <c r="AA24" s="288">
        <f t="shared" si="2"/>
        <v>0</v>
      </c>
      <c r="AB24" s="286"/>
      <c r="AC24" s="282" t="str">
        <f>R24</f>
        <v/>
      </c>
      <c r="AD24" s="292"/>
    </row>
    <row r="25" spans="1:30" ht="12.75">
      <c r="A25" s="100">
        <v>21</v>
      </c>
      <c r="B25" s="139">
        <f>16-D25+8</f>
        <v>14</v>
      </c>
      <c r="C25" s="108"/>
      <c r="D25" s="101">
        <f t="shared" si="4"/>
        <v>10</v>
      </c>
      <c r="E25" s="101">
        <v>0</v>
      </c>
      <c r="F25" s="71">
        <f>IF(NOT($G25="-"),VLOOKUP($G25,'AL MD'!$A$3:$E$34,2,FALSE),"")</f>
        <v>0</v>
      </c>
      <c r="G25" s="100">
        <f>VLOOKUP($B25,Setup!$Q$4:$R$35,2,FALSE)</f>
        <v>13</v>
      </c>
      <c r="H25" s="100">
        <f>IF($G25&gt;0,VLOOKUP($G25,'AL MD'!$A$3:$F$34,6,FALSE),0)</f>
        <v>0</v>
      </c>
      <c r="I25" s="100">
        <f>IF(Setup!$B$24="#",0,IF($G25&gt;0,VLOOKUP($G25,'AL MD'!$A$3:$E$34,3,FALSE),0))</f>
        <v>0</v>
      </c>
      <c r="J25" s="169" t="str">
        <f>IF($I25&gt;0,VLOOKUP($I25,'AL MD'!$C$3:$E$34,2,FALSE),"bye")</f>
        <v>bye</v>
      </c>
      <c r="K25" s="454" t="str">
        <f t="shared" si="0"/>
        <v/>
      </c>
      <c r="L25" s="103" t="str">
        <f>IF($I25&gt;0,VLOOKUP($I25,'AL MD'!$C$3:$E$34,3,FALSE),"")</f>
        <v/>
      </c>
      <c r="M25" s="68"/>
      <c r="N25" s="167" t="str">
        <f>UPPER(IF($A$2="R",IF(OR(M25=1,M25="a"),I25,IF(OR(M25=2,M25="b"),I26,"")),IF(OR(M25=1,M25="a"),K25,IF(OR(M25=2,M25="b"),K26,""))))</f>
        <v/>
      </c>
      <c r="O25" s="118"/>
      <c r="P25" s="182"/>
      <c r="Q25" s="118"/>
      <c r="R25" s="173"/>
      <c r="S25" s="122"/>
      <c r="T25" s="273"/>
      <c r="X25" s="283">
        <f t="shared" si="1"/>
        <v>0</v>
      </c>
      <c r="Y25" s="283" t="str">
        <f t="shared" si="1"/>
        <v>bye</v>
      </c>
      <c r="Z25" s="281"/>
      <c r="AA25" s="287" t="str">
        <f t="shared" si="2"/>
        <v/>
      </c>
      <c r="AB25" s="286"/>
      <c r="AC25" s="288">
        <f>R25</f>
        <v>0</v>
      </c>
      <c r="AD25" s="292"/>
    </row>
    <row r="26" spans="1:30" ht="12.75">
      <c r="A26" s="100">
        <v>22</v>
      </c>
      <c r="B26" s="139">
        <f>17-D26+8</f>
        <v>14</v>
      </c>
      <c r="C26" s="108">
        <v>14</v>
      </c>
      <c r="D26" s="101">
        <f t="shared" si="4"/>
        <v>11</v>
      </c>
      <c r="E26" s="101">
        <f>IF($B$2&gt;=C26,1,0)</f>
        <v>1</v>
      </c>
      <c r="F26" s="71" t="str">
        <f>IF(NOT($G26="-"),VLOOKUP($G26,'AL MD'!$A$3:$E$34,2,FALSE),"")</f>
        <v/>
      </c>
      <c r="G26" s="100" t="str">
        <f>IF($B$2&gt;=C26,"-",VLOOKUP($B26,Setup!$Q$4:$R$35,2,FALSE))</f>
        <v>-</v>
      </c>
      <c r="H26" s="100">
        <f>IF(NOT($G26="-"),VLOOKUP($G26,'AL MD'!$A$3:$F$34,6,FALSE),0)</f>
        <v>0</v>
      </c>
      <c r="I26" s="100">
        <f>IF(Setup!$B$24="#",0,IF(NOT($G26="-"),VLOOKUP($G26,'AL MD'!$A$3:$E$34,3,FALSE),0))</f>
        <v>0</v>
      </c>
      <c r="J26" s="169" t="str">
        <f>IF($I26&gt;0,VLOOKUP($I26,'AL MD'!$C$3:$E$34,2,FALSE),"bye")</f>
        <v>bye</v>
      </c>
      <c r="K26" s="454" t="str">
        <f t="shared" si="0"/>
        <v/>
      </c>
      <c r="L26" s="103" t="str">
        <f>IF($I26&gt;0,VLOOKUP($I26,'AL MD'!$C$3:$E$34,3,FALSE),"")</f>
        <v/>
      </c>
      <c r="M26" s="74"/>
      <c r="N26" s="171"/>
      <c r="O26" s="68"/>
      <c r="P26" s="167" t="str">
        <f>UPPER(IF($A$2="R",IF(OR(O26=1,O26="a"),N25,IF(OR(O26=2,O26="b"),N27,"")),IF(OR(O26=1,O26="a"),N25,IF(OR(O26=2,O26="b"),N27,""))))</f>
        <v/>
      </c>
      <c r="Q26" s="122"/>
      <c r="R26" s="174"/>
      <c r="S26" s="122"/>
      <c r="T26" s="273"/>
      <c r="X26" s="284">
        <f t="shared" si="1"/>
        <v>0</v>
      </c>
      <c r="Y26" s="284" t="str">
        <f t="shared" si="1"/>
        <v>bye</v>
      </c>
      <c r="Z26" s="285"/>
      <c r="AA26" s="286">
        <f t="shared" si="2"/>
        <v>0</v>
      </c>
      <c r="AB26" s="286" t="str">
        <f t="shared" si="3"/>
        <v/>
      </c>
      <c r="AC26" s="286"/>
      <c r="AD26" s="292"/>
    </row>
    <row r="27" spans="1:30" ht="12.75">
      <c r="A27" s="95">
        <v>23</v>
      </c>
      <c r="B27" s="139">
        <f>18-D27+8</f>
        <v>14</v>
      </c>
      <c r="C27" s="102">
        <f>B28</f>
        <v>3</v>
      </c>
      <c r="D27" s="101">
        <f t="shared" si="4"/>
        <v>12</v>
      </c>
      <c r="E27" s="101">
        <f>IF($B$2&gt;=C27,1,0)</f>
        <v>1</v>
      </c>
      <c r="F27" s="67" t="str">
        <f>IF(NOT($G27="-"),VLOOKUP($G27,'AL MD'!$A$3:$E$34,2,FALSE),"")</f>
        <v/>
      </c>
      <c r="G27" s="95" t="str">
        <f>IF($B$2&gt;=C27,"-",VLOOKUP($B27,Setup!$Q$4:$R$35,2,FALSE))</f>
        <v>-</v>
      </c>
      <c r="H27" s="95">
        <f>IF(NOT($G27="-"),VLOOKUP($G27,'AL MD'!$A$3:$F$34,6,FALSE),0)</f>
        <v>0</v>
      </c>
      <c r="I27" s="95">
        <f>IF(Setup!$B$24="#",0,IF(NOT($G27="-"),VLOOKUP($G27,'AL MD'!$A$3:$E$34,3,FALSE),0))</f>
        <v>0</v>
      </c>
      <c r="J27" s="179" t="str">
        <f>IF($I27&gt;0,VLOOKUP($I27,'AL MD'!$C$3:$E$34,2,FALSE),"bye")</f>
        <v>bye</v>
      </c>
      <c r="K27" s="295" t="str">
        <f t="shared" si="0"/>
        <v/>
      </c>
      <c r="L27" s="142" t="str">
        <f>IF($I27&gt;0,VLOOKUP($I27,'AL MD'!$C$3:$E$34,3,FALSE),"")</f>
        <v/>
      </c>
      <c r="M27" s="68"/>
      <c r="N27" s="167" t="str">
        <f>UPPER(IF($A$2="R",IF(OR(M27=1,M27="a"),I27,IF(OR(M27=2,M27="b"),I28,"")),IF(OR(M27=1,M27="a"),K27,IF(OR(M27=2,M27="b"),K28,""))))</f>
        <v/>
      </c>
      <c r="O27" s="74"/>
      <c r="P27" s="173"/>
      <c r="Q27" s="118"/>
      <c r="R27" s="174"/>
      <c r="S27" s="122"/>
      <c r="T27" s="273"/>
      <c r="X27" s="283">
        <f t="shared" si="1"/>
        <v>0</v>
      </c>
      <c r="Y27" s="283" t="str">
        <f t="shared" si="1"/>
        <v>bye</v>
      </c>
      <c r="Z27" s="281"/>
      <c r="AA27" s="287" t="str">
        <f t="shared" si="2"/>
        <v/>
      </c>
      <c r="AB27" s="288">
        <f t="shared" si="3"/>
        <v>0</v>
      </c>
      <c r="AC27" s="286"/>
      <c r="AD27" s="292"/>
    </row>
    <row r="28" spans="1:30" ht="13.5" thickBot="1">
      <c r="A28" s="143">
        <v>24</v>
      </c>
      <c r="B28" s="149">
        <f>VALUE(Setup!L5)</f>
        <v>3</v>
      </c>
      <c r="C28" s="145"/>
      <c r="D28" s="146">
        <f t="shared" si="4"/>
        <v>12</v>
      </c>
      <c r="E28" s="146">
        <v>0</v>
      </c>
      <c r="F28" s="123">
        <f>IF(NOT($G28="-"),VLOOKUP($G28,'AL MD'!$A$3:$E$34,2,FALSE),"")</f>
        <v>0</v>
      </c>
      <c r="G28" s="147">
        <f>VLOOKUP($B28,Setup!$Q$4:$R$35,2,FALSE)</f>
        <v>3</v>
      </c>
      <c r="H28" s="143">
        <f>IF($G28&gt;0,VLOOKUP($G28,'AL MD'!$A$3:$F$34,6,FALSE),0)</f>
        <v>84</v>
      </c>
      <c r="I28" s="147">
        <f>IF(Setup!$B$24="#",0,IF($G28&gt;0,VLOOKUP($G28,'AL MD'!$A$3:$E$34,3,FALSE),0))</f>
        <v>0</v>
      </c>
      <c r="J28" s="180" t="str">
        <f>IF($I28&gt;0,VLOOKUP($I28,'AL MD'!$C$3:$E$34,2,FALSE),"bye")</f>
        <v>bye</v>
      </c>
      <c r="K28" s="456" t="str">
        <f t="shared" si="0"/>
        <v/>
      </c>
      <c r="L28" s="148" t="str">
        <f>IF($I28&gt;0,VLOOKUP($I28,'AL MD'!$C$3:$E$34,3,FALSE),"")</f>
        <v/>
      </c>
      <c r="M28" s="74"/>
      <c r="N28" s="173"/>
      <c r="P28" s="174"/>
      <c r="R28" s="174"/>
      <c r="S28" s="68"/>
      <c r="T28" s="185" t="str">
        <f>UPPER(IF($A$2="R",IF(OR(S28=1,S28="a"),R24,IF(OR(S28=2,S28="b"),R32,"")),IF(OR(S28=1,S28="a"),R24,IF(OR(S28=2,S28="b"),R32,""))))</f>
        <v/>
      </c>
      <c r="X28" s="284">
        <f t="shared" si="1"/>
        <v>0</v>
      </c>
      <c r="Y28" s="284" t="str">
        <f t="shared" si="1"/>
        <v>bye</v>
      </c>
      <c r="Z28" s="285"/>
      <c r="AA28" s="286">
        <f t="shared" si="2"/>
        <v>0</v>
      </c>
      <c r="AB28" s="286"/>
      <c r="AC28" s="286"/>
      <c r="AD28" s="293" t="str">
        <f t="shared" si="5"/>
        <v/>
      </c>
    </row>
    <row r="29" spans="1:30" ht="13.5" thickTop="1">
      <c r="A29" s="100">
        <v>25</v>
      </c>
      <c r="B29" s="138">
        <f>VALUE(Setup!L10)</f>
        <v>7</v>
      </c>
      <c r="C29" s="108"/>
      <c r="D29" s="101">
        <f t="shared" si="4"/>
        <v>12</v>
      </c>
      <c r="E29" s="101">
        <v>0</v>
      </c>
      <c r="F29" s="71">
        <f>IF(NOT($G29="-"),VLOOKUP($G29,'AL MD'!$A$3:$E$34,2,FALSE),"")</f>
        <v>0</v>
      </c>
      <c r="G29" s="110">
        <f>VLOOKUP($B29,Setup!$Q$4:$R$35,2,FALSE)</f>
        <v>7</v>
      </c>
      <c r="H29" s="100">
        <f>IF($G29&gt;0,VLOOKUP($G29,'AL MD'!$A$3:$F$34,6,FALSE),0)</f>
        <v>34.5</v>
      </c>
      <c r="I29" s="110">
        <f>IF(Setup!$B$24="#",0,IF($G29&gt;0,VLOOKUP($G29,'AL MD'!$A$3:$E$34,3,FALSE),0))</f>
        <v>0</v>
      </c>
      <c r="J29" s="181" t="str">
        <f>IF($I29&gt;0,VLOOKUP($I29,'AL MD'!$C$3:$E$34,2,FALSE),"bye")</f>
        <v>bye</v>
      </c>
      <c r="K29" s="454" t="str">
        <f t="shared" si="0"/>
        <v/>
      </c>
      <c r="L29" s="141" t="str">
        <f>IF($I29&gt;0,VLOOKUP($I29,'AL MD'!$C$3:$E$34,3,FALSE),"")</f>
        <v/>
      </c>
      <c r="M29" s="68"/>
      <c r="N29" s="167" t="str">
        <f>UPPER(IF($A$2="R",IF(OR(M29=1,M29="a"),I29,IF(OR(M29=2,M29="b"),I30,"")),IF(OR(M29=1,M29="a"),K29,IF(OR(M29=2,M29="b"),K30,""))))</f>
        <v/>
      </c>
      <c r="O29" s="118"/>
      <c r="P29" s="174"/>
      <c r="R29" s="182"/>
      <c r="T29" s="188"/>
      <c r="X29" s="283">
        <f t="shared" si="1"/>
        <v>0</v>
      </c>
      <c r="Y29" s="283" t="str">
        <f t="shared" si="1"/>
        <v>bye</v>
      </c>
      <c r="Z29" s="281"/>
      <c r="AA29" s="286" t="str">
        <f t="shared" si="2"/>
        <v/>
      </c>
      <c r="AB29" s="286"/>
      <c r="AC29" s="286"/>
      <c r="AD29" s="290">
        <f t="shared" si="5"/>
        <v>0</v>
      </c>
    </row>
    <row r="30" spans="1:30" ht="12.75">
      <c r="A30" s="104">
        <v>26</v>
      </c>
      <c r="B30" s="139">
        <f>19-D30+8</f>
        <v>14</v>
      </c>
      <c r="C30" s="108">
        <f>B29</f>
        <v>7</v>
      </c>
      <c r="D30" s="101">
        <f t="shared" si="4"/>
        <v>13</v>
      </c>
      <c r="E30" s="101">
        <f>IF($B$2&gt;=C30,1,0)</f>
        <v>1</v>
      </c>
      <c r="F30" s="75" t="str">
        <f>IF(NOT($G30="-"),VLOOKUP($G30,'AL MD'!$A$3:$E$34,2,FALSE),"")</f>
        <v/>
      </c>
      <c r="G30" s="104" t="str">
        <f>IF($B$2&gt;=C30,"-",VLOOKUP($B30,Setup!$Q$4:$R$35,2,FALSE))</f>
        <v>-</v>
      </c>
      <c r="H30" s="104">
        <f>IF(NOT($G30="-"),VLOOKUP($G30,'AL MD'!$A$3:$F$34,6,FALSE),0)</f>
        <v>0</v>
      </c>
      <c r="I30" s="104">
        <f>IF(Setup!$B$24="#",0,IF(NOT($G30="-"),VLOOKUP($G30,'AL MD'!$A$3:$E$34,3,FALSE),0))</f>
        <v>0</v>
      </c>
      <c r="J30" s="170" t="str">
        <f>IF($I30&gt;0,VLOOKUP($I30,'AL MD'!$C$3:$E$34,2,FALSE),"bye")</f>
        <v>bye</v>
      </c>
      <c r="K30" s="455" t="str">
        <f t="shared" si="0"/>
        <v/>
      </c>
      <c r="L30" s="107" t="str">
        <f>IF($I30&gt;0,VLOOKUP($I30,'AL MD'!$C$3:$E$34,3,FALSE),"")</f>
        <v/>
      </c>
      <c r="M30" s="74"/>
      <c r="N30" s="171"/>
      <c r="O30" s="68"/>
      <c r="P30" s="167" t="str">
        <f>UPPER(IF($A$2="R",IF(OR(O30=1,O30="a"),N29,IF(OR(O30=2,O30="b"),N31,"")),IF(OR(O30=1,O30="a"),N29,IF(OR(O30=2,O30="b"),N31,""))))</f>
        <v/>
      </c>
      <c r="Q30" s="118"/>
      <c r="R30" s="182"/>
      <c r="T30" s="119"/>
      <c r="X30" s="284">
        <f t="shared" si="1"/>
        <v>0</v>
      </c>
      <c r="Y30" s="284" t="str">
        <f t="shared" si="1"/>
        <v>bye</v>
      </c>
      <c r="Z30" s="285"/>
      <c r="AA30" s="288">
        <f t="shared" si="2"/>
        <v>0</v>
      </c>
      <c r="AB30" s="286" t="str">
        <f t="shared" si="3"/>
        <v/>
      </c>
      <c r="AC30" s="286"/>
      <c r="AD30" s="283"/>
    </row>
    <row r="31" spans="1:30" ht="12.75">
      <c r="A31" s="100">
        <v>27</v>
      </c>
      <c r="B31" s="139">
        <f>20-D31+8</f>
        <v>15</v>
      </c>
      <c r="C31" s="108"/>
      <c r="D31" s="101">
        <f t="shared" si="4"/>
        <v>13</v>
      </c>
      <c r="E31" s="101">
        <v>0</v>
      </c>
      <c r="F31" s="71">
        <f>IF(NOT($G31="-"),VLOOKUP($G31,'AL MD'!$A$3:$E$34,2,FALSE),"")</f>
        <v>0</v>
      </c>
      <c r="G31" s="100">
        <f>VLOOKUP($B31,Setup!$Q$4:$R$35,2,FALSE)</f>
        <v>11</v>
      </c>
      <c r="H31" s="100">
        <f>IF($G31&gt;0,VLOOKUP($G31,'AL MD'!$A$3:$F$34,6,FALSE),0)</f>
        <v>0</v>
      </c>
      <c r="I31" s="100">
        <f>IF(Setup!$B$24="#",0,IF($G31&gt;0,VLOOKUP($G31,'AL MD'!$A$3:$E$34,3,FALSE),0))</f>
        <v>0</v>
      </c>
      <c r="J31" s="169" t="str">
        <f>IF($I31&gt;0,VLOOKUP($I31,'AL MD'!$C$3:$E$34,2,FALSE),"bye")</f>
        <v>bye</v>
      </c>
      <c r="K31" s="454" t="str">
        <f t="shared" si="0"/>
        <v/>
      </c>
      <c r="L31" s="103" t="str">
        <f>IF($I31&gt;0,VLOOKUP($I31,'AL MD'!$C$3:$E$34,3,FALSE),"")</f>
        <v/>
      </c>
      <c r="M31" s="68"/>
      <c r="N31" s="167" t="str">
        <f>UPPER(IF($A$2="R",IF(OR(M31=1,M31="a"),I31,IF(OR(M31=2,M31="b"),I32,"")),IF(OR(M31=1,M31="a"),K31,IF(OR(M31=2,M31="b"),K32,""))))</f>
        <v/>
      </c>
      <c r="O31" s="74"/>
      <c r="P31" s="171"/>
      <c r="Q31" s="118"/>
      <c r="R31" s="182"/>
      <c r="T31" s="119"/>
      <c r="X31" s="283">
        <f t="shared" si="1"/>
        <v>0</v>
      </c>
      <c r="Y31" s="283" t="str">
        <f t="shared" si="1"/>
        <v>bye</v>
      </c>
      <c r="Z31" s="281"/>
      <c r="AA31" s="287" t="str">
        <f t="shared" si="2"/>
        <v/>
      </c>
      <c r="AB31" s="288">
        <f t="shared" si="3"/>
        <v>0</v>
      </c>
      <c r="AC31" s="286"/>
      <c r="AD31" s="283"/>
    </row>
    <row r="32" spans="1:30" ht="12.75">
      <c r="A32" s="100">
        <v>28</v>
      </c>
      <c r="B32" s="139">
        <f>21-D32+8</f>
        <v>15</v>
      </c>
      <c r="C32" s="108">
        <v>10</v>
      </c>
      <c r="D32" s="101">
        <f t="shared" si="4"/>
        <v>14</v>
      </c>
      <c r="E32" s="101">
        <f>IF($B$2&gt;=C32,1,0)</f>
        <v>1</v>
      </c>
      <c r="F32" s="71" t="str">
        <f>IF(NOT($G32="-"),VLOOKUP($G32,'AL MD'!$A$3:$E$34,2,FALSE),"")</f>
        <v/>
      </c>
      <c r="G32" s="100" t="str">
        <f>IF($B$2&gt;=C32,"-",VLOOKUP($B32,Setup!$Q$4:$R$35,2,FALSE))</f>
        <v>-</v>
      </c>
      <c r="H32" s="100">
        <f>IF(NOT($G32="-"),VLOOKUP($G32,'AL MD'!$A$3:$F$34,6,FALSE),0)</f>
        <v>0</v>
      </c>
      <c r="I32" s="100">
        <f>IF(Setup!$B$24="#",0,IF(NOT($G32="-"),VLOOKUP($G32,'AL MD'!$A$3:$E$34,3,FALSE),0))</f>
        <v>0</v>
      </c>
      <c r="J32" s="169" t="str">
        <f>IF($I32&gt;0,VLOOKUP($I32,'AL MD'!$C$3:$E$34,2,FALSE),"bye")</f>
        <v>bye</v>
      </c>
      <c r="K32" s="454" t="str">
        <f t="shared" si="0"/>
        <v/>
      </c>
      <c r="L32" s="103" t="str">
        <f>IF($I32&gt;0,VLOOKUP($I32,'AL MD'!$C$3:$E$34,3,FALSE),"")</f>
        <v/>
      </c>
      <c r="M32" s="124"/>
      <c r="N32" s="172"/>
      <c r="O32" s="118"/>
      <c r="P32" s="182"/>
      <c r="Q32" s="68"/>
      <c r="R32" s="167" t="str">
        <f>UPPER(IF($A$2="R",IF(OR(Q32=1,Q32="a"),P30,IF(OR(Q32=2,Q32="b"),P34,"")),IF(OR(Q32=1,Q32="a"),P30,IF(OR(Q32=2,Q32="b"),P34,""))))</f>
        <v/>
      </c>
      <c r="S32" s="122"/>
      <c r="T32" s="119"/>
      <c r="X32" s="284">
        <f t="shared" si="1"/>
        <v>0</v>
      </c>
      <c r="Y32" s="284" t="str">
        <f t="shared" si="1"/>
        <v>bye</v>
      </c>
      <c r="Z32" s="289"/>
      <c r="AA32" s="286">
        <f t="shared" si="2"/>
        <v>0</v>
      </c>
      <c r="AB32" s="286"/>
      <c r="AC32" s="287" t="str">
        <f>R32</f>
        <v/>
      </c>
      <c r="AD32" s="283"/>
    </row>
    <row r="33" spans="1:30" ht="12.75">
      <c r="A33" s="95">
        <v>29</v>
      </c>
      <c r="B33" s="139">
        <f>22-D33+8</f>
        <v>16</v>
      </c>
      <c r="C33" s="108"/>
      <c r="D33" s="101">
        <f t="shared" si="4"/>
        <v>14</v>
      </c>
      <c r="E33" s="101">
        <v>0</v>
      </c>
      <c r="F33" s="67">
        <f>IF(NOT($G33="-"),VLOOKUP($G33,'AL MD'!$A$3:$E$34,2,FALSE),"")</f>
        <v>0</v>
      </c>
      <c r="G33" s="95">
        <f>VLOOKUP($B33,Setup!$Q$4:$R$35,2,FALSE)</f>
        <v>15</v>
      </c>
      <c r="H33" s="95">
        <f>IF($G33&gt;0,VLOOKUP($G33,'AL MD'!$A$3:$F$34,6,FALSE),0)</f>
        <v>0</v>
      </c>
      <c r="I33" s="95">
        <f>IF(Setup!$B$24="#",0,IF($G33&gt;0,VLOOKUP($G33,'AL MD'!$A$3:$E$34,3,FALSE),0))</f>
        <v>0</v>
      </c>
      <c r="J33" s="179" t="str">
        <f>IF($I33&gt;0,VLOOKUP($I33,'AL MD'!$C$3:$E$34,2,FALSE),"bye")</f>
        <v>bye</v>
      </c>
      <c r="K33" s="295" t="str">
        <f t="shared" si="0"/>
        <v/>
      </c>
      <c r="L33" s="142" t="str">
        <f>IF($I33&gt;0,VLOOKUP($I33,'AL MD'!$C$3:$E$34,3,FALSE),"")</f>
        <v/>
      </c>
      <c r="M33" s="121"/>
      <c r="N33" s="167" t="str">
        <f>UPPER(IF($A$2="R",IF(OR(M33=1,M33="a"),I33,IF(OR(M33=2,M33="b"),I34,"")),IF(OR(M33=1,M33="a"),K33,IF(OR(M33=2,M33="b"),K34,""))))</f>
        <v/>
      </c>
      <c r="O33" s="118"/>
      <c r="P33" s="182"/>
      <c r="Q33" s="118"/>
      <c r="R33" s="174"/>
      <c r="T33" s="119"/>
      <c r="X33" s="283">
        <f t="shared" si="1"/>
        <v>0</v>
      </c>
      <c r="Y33" s="283" t="str">
        <f t="shared" si="1"/>
        <v>bye</v>
      </c>
      <c r="Z33" s="285"/>
      <c r="AA33" s="287" t="str">
        <f t="shared" si="2"/>
        <v/>
      </c>
      <c r="AB33" s="286"/>
      <c r="AC33" s="283">
        <f>R33</f>
        <v>0</v>
      </c>
      <c r="AD33" s="283"/>
    </row>
    <row r="34" spans="1:30" ht="12.75">
      <c r="A34" s="104">
        <v>30</v>
      </c>
      <c r="B34" s="139">
        <f>23-D34+8</f>
        <v>16</v>
      </c>
      <c r="C34" s="108">
        <v>16</v>
      </c>
      <c r="D34" s="101">
        <f t="shared" si="4"/>
        <v>15</v>
      </c>
      <c r="E34" s="101">
        <f>IF($B$2&gt;=C34,1,0)</f>
        <v>1</v>
      </c>
      <c r="F34" s="75" t="str">
        <f>IF(NOT($G34="-"),VLOOKUP($G34,'AL MD'!$A$3:$E$34,2,FALSE),"")</f>
        <v/>
      </c>
      <c r="G34" s="104" t="str">
        <f>IF($B$2&gt;=C34,"-",VLOOKUP($B34,Setup!$Q$4:$R$35,2,FALSE))</f>
        <v>-</v>
      </c>
      <c r="H34" s="104">
        <f>IF(NOT($G34="-"),VLOOKUP($G34,'AL MD'!$A$3:$F$34,6,FALSE),0)</f>
        <v>0</v>
      </c>
      <c r="I34" s="104">
        <f>IF(Setup!$B$24="#",0,IF(NOT($G34="-"),VLOOKUP($G34,'AL MD'!$A$3:$E$34,3,FALSE),0))</f>
        <v>0</v>
      </c>
      <c r="J34" s="170" t="str">
        <f>IF($I34&gt;0,VLOOKUP($I34,'AL MD'!$C$3:$E$34,2,FALSE),"bye")</f>
        <v>bye</v>
      </c>
      <c r="K34" s="455" t="str">
        <f t="shared" si="0"/>
        <v/>
      </c>
      <c r="L34" s="107" t="str">
        <f>IF($I34&gt;0,VLOOKUP($I34,'AL MD'!$C$3:$E$34,3,FALSE),"")</f>
        <v/>
      </c>
      <c r="M34" s="74"/>
      <c r="N34" s="171"/>
      <c r="O34" s="68"/>
      <c r="P34" s="167" t="str">
        <f>UPPER(IF($A$2="R",IF(OR(O34=1,O34="a"),N33,IF(OR(O34=2,O34="b"),N35,"")),IF(OR(O34=1,O34="a"),N33,IF(OR(O34=2,O34="b"),N35,""))))</f>
        <v/>
      </c>
      <c r="Q34" s="122"/>
      <c r="R34" s="119"/>
      <c r="T34" s="119"/>
      <c r="X34" s="284">
        <f t="shared" si="1"/>
        <v>0</v>
      </c>
      <c r="Y34" s="284" t="str">
        <f t="shared" si="1"/>
        <v>bye</v>
      </c>
      <c r="Z34" s="289"/>
      <c r="AA34" s="286">
        <f t="shared" si="2"/>
        <v>0</v>
      </c>
      <c r="AB34" s="286" t="str">
        <f t="shared" si="3"/>
        <v/>
      </c>
      <c r="AC34" s="283"/>
      <c r="AD34" s="283"/>
    </row>
    <row r="35" spans="1:30" ht="12.75">
      <c r="A35" s="95">
        <v>31</v>
      </c>
      <c r="B35" s="139">
        <f>24-D35+8</f>
        <v>16</v>
      </c>
      <c r="C35" s="108">
        <f>B36</f>
        <v>2</v>
      </c>
      <c r="D35" s="101">
        <f t="shared" si="4"/>
        <v>16</v>
      </c>
      <c r="E35" s="101">
        <f>IF($B$2&gt;=C35,1,0)</f>
        <v>1</v>
      </c>
      <c r="F35" s="67" t="str">
        <f>IF(NOT($G35="-"),VLOOKUP($G35,'AL MD'!$A$3:$E$34,2,FALSE),"")</f>
        <v/>
      </c>
      <c r="G35" s="95" t="str">
        <f>IF($B$2&gt;=C35,"-",VLOOKUP($B35,Setup!$Q$4:$R$35,2,FALSE))</f>
        <v>-</v>
      </c>
      <c r="H35" s="95">
        <f>IF(NOT($G35="-"),VLOOKUP($G35,'AL MD'!$A$3:$F$34,6,FALSE),0)</f>
        <v>0</v>
      </c>
      <c r="I35" s="95">
        <f>IF(Setup!$B$24="#",0,IF(NOT($G35="-"),VLOOKUP($G35,'AL MD'!$A$3:$E$34,3,FALSE),0))</f>
        <v>0</v>
      </c>
      <c r="J35" s="179" t="str">
        <f>IF($I35&gt;0,VLOOKUP($I35,'AL MD'!$C$3:$E$34,2,FALSE),"bye")</f>
        <v>bye</v>
      </c>
      <c r="K35" s="295" t="str">
        <f t="shared" si="0"/>
        <v/>
      </c>
      <c r="L35" s="142" t="str">
        <f>IF($I35&gt;0,VLOOKUP($I35,'AL MD'!$C$3:$E$34,3,FALSE),"")</f>
        <v/>
      </c>
      <c r="M35" s="68"/>
      <c r="N35" s="167" t="str">
        <f>UPPER(IF($A$2="R",IF(OR(M35=1,M35="a"),I35,IF(OR(M35=2,M35="b"),I36,"")),IF(OR(M35=1,M35="a"),K35,IF(OR(M35=2,M35="b"),K36,""))))</f>
        <v/>
      </c>
      <c r="O35" s="74"/>
      <c r="P35" s="173"/>
      <c r="Q35" s="118"/>
      <c r="R35" s="119"/>
      <c r="T35" s="119"/>
      <c r="X35" s="283">
        <f t="shared" si="1"/>
        <v>0</v>
      </c>
      <c r="Y35" s="283" t="str">
        <f t="shared" si="1"/>
        <v>bye</v>
      </c>
      <c r="Z35" s="285"/>
      <c r="AA35" s="287" t="str">
        <f t="shared" si="2"/>
        <v/>
      </c>
      <c r="AB35" s="294">
        <f t="shared" si="3"/>
        <v>0</v>
      </c>
      <c r="AC35" s="283"/>
      <c r="AD35" s="283"/>
    </row>
    <row r="36" spans="1:30" ht="13.5" thickBot="1">
      <c r="A36" s="143">
        <v>32</v>
      </c>
      <c r="B36" s="149">
        <v>2</v>
      </c>
      <c r="C36" s="145"/>
      <c r="D36" s="146">
        <f t="shared" si="4"/>
        <v>16</v>
      </c>
      <c r="E36" s="146">
        <v>0</v>
      </c>
      <c r="F36" s="123">
        <f>IF(NOT($G36="-"),VLOOKUP($G36,'AL MD'!$A$3:$E$34,2,FALSE),"")</f>
        <v>0</v>
      </c>
      <c r="G36" s="147">
        <f>VLOOKUP($B36,Setup!$Q$4:$R$35,2,FALSE)</f>
        <v>2</v>
      </c>
      <c r="H36" s="143">
        <f>IF($G36&gt;0,VLOOKUP($G36,'AL MD'!$A$3:$F$34,6,FALSE),0)</f>
        <v>109</v>
      </c>
      <c r="I36" s="147">
        <f>IF(Setup!$B$24="#",0,IF($G36&gt;0,VLOOKUP($G36,'AL MD'!$A$3:$E$34,3,FALSE),0))</f>
        <v>0</v>
      </c>
      <c r="J36" s="180" t="str">
        <f>IF($I36&gt;0,VLOOKUP($I36,'AL MD'!$C$3:$E$34,2,FALSE),"bye")</f>
        <v>bye</v>
      </c>
      <c r="K36" s="456" t="str">
        <f t="shared" si="0"/>
        <v/>
      </c>
      <c r="L36" s="148" t="str">
        <f>IF($I36&gt;0,VLOOKUP($I36,'AL MD'!$C$3:$E$34,3,FALSE),"")</f>
        <v/>
      </c>
      <c r="M36" s="74"/>
      <c r="N36" s="172"/>
      <c r="P36" s="119"/>
      <c r="R36" s="125"/>
      <c r="T36" s="117"/>
      <c r="X36" s="284">
        <f>I36</f>
        <v>0</v>
      </c>
      <c r="Y36" s="284" t="str">
        <f>J36</f>
        <v>bye</v>
      </c>
      <c r="Z36" s="289"/>
      <c r="AA36" s="294">
        <f t="shared" si="2"/>
        <v>0</v>
      </c>
      <c r="AB36" s="283"/>
      <c r="AC36" s="283"/>
      <c r="AD36" s="283"/>
    </row>
    <row r="37" spans="1:30" ht="12" thickTop="1">
      <c r="N37" s="126"/>
      <c r="P37" s="126" t="s">
        <v>22</v>
      </c>
      <c r="R37" s="126" t="s">
        <v>22</v>
      </c>
      <c r="T37" s="126" t="s">
        <v>22</v>
      </c>
    </row>
    <row r="38" spans="1:30">
      <c r="J38" s="81"/>
      <c r="K38" s="81"/>
      <c r="L38" s="81"/>
      <c r="M38" s="58"/>
    </row>
    <row r="39" spans="1:30" s="79" customFormat="1" ht="9.75">
      <c r="C39" s="127"/>
      <c r="D39" s="128"/>
      <c r="E39" s="128"/>
      <c r="F39" s="127"/>
      <c r="G39" s="127"/>
      <c r="H39" s="128"/>
      <c r="I39" s="128"/>
      <c r="J39" s="561" t="s">
        <v>35</v>
      </c>
      <c r="K39" s="561"/>
      <c r="L39" s="561"/>
      <c r="M39" s="129"/>
      <c r="O39" s="130"/>
      <c r="Q39" s="130"/>
      <c r="R39" s="131"/>
      <c r="S39" s="78"/>
      <c r="T39" s="131"/>
      <c r="U39" s="131"/>
    </row>
    <row r="40" spans="1:30" s="79" customFormat="1" ht="9.75">
      <c r="C40" s="127"/>
      <c r="D40" s="128"/>
      <c r="E40" s="128"/>
      <c r="F40" s="127"/>
      <c r="G40" s="127"/>
      <c r="H40" s="128"/>
      <c r="I40" s="128"/>
      <c r="J40" s="163" t="str">
        <f>"1. " &amp; IF(Setup!B19&gt;0,LEFT('AL MD'!D3,FIND(" ",'AL MD'!D3)+1),"")</f>
        <v>1. ΜΙΟΥΜΠΗ Μ</v>
      </c>
      <c r="K40" s="175"/>
      <c r="L40" s="163" t="str">
        <f>"5. " &amp; IF(Setup!B19&gt;4,LEFT('AL MD'!D7,FIND(" ",'AL MD'!D7)+1),"")</f>
        <v>5. ΚΟΥΡΙΔΑΚΗ Α</v>
      </c>
      <c r="M40" s="132"/>
      <c r="N40" s="132"/>
      <c r="O40" s="130"/>
      <c r="Q40" s="130"/>
      <c r="R40" s="131"/>
      <c r="S40" s="78"/>
      <c r="T40" s="131"/>
      <c r="U40" s="131"/>
    </row>
    <row r="41" spans="1:30" s="79" customFormat="1" ht="9.75">
      <c r="C41" s="127"/>
      <c r="D41" s="128"/>
      <c r="E41" s="128"/>
      <c r="F41" s="127"/>
      <c r="G41" s="127"/>
      <c r="H41" s="128"/>
      <c r="I41" s="128"/>
      <c r="J41" s="163" t="str">
        <f>"2. " &amp; IF(Setup!B19&gt;1,LEFT('AL MD'!D4,FIND(" ",'AL MD'!D4)+1),"")</f>
        <v>2. ΜΑΡΝΑΙΛΟΥ Μ</v>
      </c>
      <c r="K41" s="175"/>
      <c r="L41" s="163" t="str">
        <f>"6. " &amp; IF(Setup!B19&gt;5,LEFT('AL MD'!D8,FIND(" ",'AL MD'!D8)+1),"")</f>
        <v>6. ΒΕΛΙΒΑΣΣΑΚΗ Χ</v>
      </c>
      <c r="M41" s="129"/>
      <c r="O41" s="130"/>
      <c r="Q41" s="130"/>
      <c r="R41" s="176" t="s">
        <v>36</v>
      </c>
      <c r="S41" s="177"/>
      <c r="T41" s="178"/>
      <c r="U41" s="131"/>
    </row>
    <row r="42" spans="1:30" s="79" customFormat="1" ht="9.75">
      <c r="C42" s="127"/>
      <c r="D42" s="128"/>
      <c r="E42" s="128"/>
      <c r="F42" s="127"/>
      <c r="G42" s="127"/>
      <c r="H42" s="128"/>
      <c r="I42" s="128"/>
      <c r="J42" s="163" t="str">
        <f>"3. " &amp; IF(Setup!B19&gt;2,LEFT('AL MD'!D5,FIND(" ",'AL MD'!D5)+1),"")</f>
        <v>3. ΚΟΥΚΛΑΚΗ Ε</v>
      </c>
      <c r="K42" s="175"/>
      <c r="L42" s="163" t="str">
        <f>"7. " &amp; IF(Setup!B19&gt;6,LEFT('AL MD'!D9,FIND(" ",'AL MD'!D9)+1),"")</f>
        <v>7. ΚΡΟΝΤΗΡΑ Ε</v>
      </c>
      <c r="M42" s="129"/>
      <c r="O42" s="130"/>
      <c r="Q42" s="130"/>
      <c r="R42" s="560" t="str">
        <f>Setup!B10</f>
        <v>Μαρίνα Μουτσάκη</v>
      </c>
      <c r="S42" s="560"/>
      <c r="T42" s="560"/>
      <c r="U42" s="131"/>
    </row>
    <row r="43" spans="1:30" s="79" customFormat="1" ht="9.75">
      <c r="C43" s="127"/>
      <c r="D43" s="128"/>
      <c r="E43" s="128"/>
      <c r="F43" s="127"/>
      <c r="G43" s="127"/>
      <c r="H43" s="128"/>
      <c r="I43" s="128"/>
      <c r="J43" s="163" t="str">
        <f>"4. " &amp; IF(Setup!B19&gt;3,LEFT('AL MD'!D6,FIND(" ",'AL MD'!D6)+1),"")</f>
        <v>4. ΜΠΑΛΑΣΚΑ Β</v>
      </c>
      <c r="K43" s="175"/>
      <c r="L43" s="163" t="str">
        <f>"8. " &amp; IF(Setup!B19&gt;7,LEFT('AL MD'!D10,FIND(" ",'AL MD'!D10)+1),"")</f>
        <v>8. ΒΑΡΒΕΡΑΚΗ Μ</v>
      </c>
      <c r="M43" s="129"/>
      <c r="O43" s="130"/>
      <c r="Q43" s="130"/>
      <c r="R43" s="131"/>
      <c r="S43" s="78"/>
      <c r="U43" s="131"/>
    </row>
    <row r="44" spans="1:30" s="79" customFormat="1" ht="9.75">
      <c r="C44" s="127"/>
      <c r="D44" s="128"/>
      <c r="E44" s="128"/>
      <c r="F44" s="127"/>
      <c r="G44" s="127"/>
      <c r="H44" s="128"/>
      <c r="I44" s="128"/>
      <c r="K44" s="131"/>
      <c r="M44" s="129"/>
      <c r="O44" s="130"/>
      <c r="Q44" s="130"/>
      <c r="R44" s="131"/>
      <c r="S44" s="78"/>
      <c r="T44" s="131"/>
      <c r="U44" s="131"/>
    </row>
    <row r="45" spans="1:30" s="79" customFormat="1" ht="9.75">
      <c r="C45" s="127"/>
      <c r="D45" s="128"/>
      <c r="E45" s="128"/>
      <c r="F45" s="127"/>
      <c r="G45" s="127"/>
      <c r="H45" s="128"/>
      <c r="I45" s="128"/>
      <c r="K45" s="131"/>
      <c r="L45" s="131"/>
      <c r="M45" s="129"/>
      <c r="O45" s="130"/>
      <c r="Q45" s="130"/>
      <c r="R45" s="131"/>
      <c r="S45" s="78"/>
      <c r="T45" s="131"/>
      <c r="U45" s="131"/>
    </row>
    <row r="46" spans="1:30" s="79" customFormat="1" ht="9.75">
      <c r="C46" s="127"/>
      <c r="D46" s="128"/>
      <c r="E46" s="128"/>
      <c r="F46" s="127"/>
      <c r="G46" s="127"/>
      <c r="H46" s="128"/>
      <c r="I46" s="128"/>
      <c r="K46" s="131"/>
      <c r="L46" s="131"/>
      <c r="M46" s="129"/>
      <c r="O46" s="130"/>
      <c r="Q46" s="130"/>
      <c r="R46" s="131"/>
      <c r="S46" s="78"/>
      <c r="T46" s="131"/>
      <c r="U46" s="131"/>
    </row>
    <row r="47" spans="1:30" s="79" customFormat="1" ht="9.75">
      <c r="C47" s="127"/>
      <c r="D47" s="128"/>
      <c r="E47" s="128"/>
      <c r="F47" s="127"/>
      <c r="G47" s="127"/>
      <c r="H47" s="128"/>
      <c r="I47" s="128"/>
      <c r="K47" s="131"/>
      <c r="L47" s="131"/>
      <c r="M47" s="129"/>
      <c r="O47" s="130"/>
      <c r="Q47" s="130"/>
      <c r="R47" s="131"/>
      <c r="S47" s="78"/>
      <c r="T47" s="131"/>
      <c r="U47" s="131"/>
    </row>
    <row r="48" spans="1:30">
      <c r="J48" s="164"/>
      <c r="K48" s="81"/>
      <c r="L48" s="81"/>
      <c r="M48" s="58"/>
    </row>
    <row r="49" spans="10:13" s="82" customFormat="1">
      <c r="J49" s="164"/>
      <c r="K49" s="81"/>
      <c r="L49" s="81"/>
      <c r="M49" s="58"/>
    </row>
    <row r="50" spans="10:13" s="82" customFormat="1">
      <c r="J50" s="164"/>
      <c r="K50" s="81"/>
      <c r="L50" s="81"/>
      <c r="M50" s="58"/>
    </row>
    <row r="51" spans="10:13" s="82" customFormat="1">
      <c r="J51" s="150"/>
      <c r="M51" s="66"/>
    </row>
    <row r="52" spans="10:13" s="82" customFormat="1">
      <c r="J52" s="150"/>
      <c r="M52" s="66"/>
    </row>
    <row r="53" spans="10:13" s="82" customFormat="1">
      <c r="J53" s="150"/>
      <c r="M53" s="66"/>
    </row>
    <row r="54" spans="10:13" s="82" customFormat="1">
      <c r="J54" s="150"/>
      <c r="M54" s="66"/>
    </row>
    <row r="55" spans="10:13" s="82" customFormat="1">
      <c r="J55" s="150"/>
      <c r="M55" s="66"/>
    </row>
    <row r="56" spans="10:13" s="82" customFormat="1">
      <c r="J56" s="150"/>
      <c r="M56" s="66"/>
    </row>
    <row r="57" spans="10:13" s="82" customFormat="1">
      <c r="J57" s="150"/>
      <c r="M57" s="66"/>
    </row>
    <row r="58" spans="10:13" s="82" customFormat="1">
      <c r="J58" s="150"/>
      <c r="M58" s="66"/>
    </row>
    <row r="59" spans="10:13" s="82" customFormat="1" hidden="1">
      <c r="J59" s="165" t="s">
        <v>43</v>
      </c>
      <c r="M59" s="66"/>
    </row>
    <row r="60" spans="10:13" s="82" customFormat="1" hidden="1">
      <c r="J60" s="166" t="str">
        <f>IF(Setup!$B$19&gt;0,LEFT('AL MD'!D3,FIND(" ",'AL MD'!D3)-1))</f>
        <v>ΜΙΟΥΜΠΗ</v>
      </c>
      <c r="M60" s="66"/>
    </row>
    <row r="61" spans="10:13" s="82" customFormat="1" hidden="1">
      <c r="J61" s="166" t="str">
        <f>IF(Setup!$B$19&gt;1,LEFT('AL MD'!D4,FIND(" ",'AL MD'!D4)-1))</f>
        <v>ΜΑΡΝΑΙΛΟΥ</v>
      </c>
      <c r="M61" s="66"/>
    </row>
    <row r="62" spans="10:13" s="82" customFormat="1" hidden="1">
      <c r="J62" s="166" t="str">
        <f>IF(Setup!$B$19&gt;2,LEFT('AL MD'!D5,FIND(" ",'AL MD'!D5)-1))</f>
        <v>ΚΟΥΚΛΑΚΗ</v>
      </c>
      <c r="M62" s="66"/>
    </row>
    <row r="63" spans="10:13" s="82" customFormat="1" hidden="1">
      <c r="J63" s="166" t="str">
        <f>IF(Setup!$B$19&gt;3,LEFT('AL MD'!D6,FIND(" ",'AL MD'!D6)-1))</f>
        <v>ΜΠΑΛΑΣΚΑ</v>
      </c>
      <c r="M63" s="66"/>
    </row>
    <row r="64" spans="10:13" s="82" customFormat="1" hidden="1">
      <c r="J64" s="166" t="str">
        <f>IF(Setup!$B$19&gt;4,LEFT('AL MD'!D7,FIND(" ",'AL MD'!D7)-1))</f>
        <v>ΚΟΥΡΙΔΑΚΗ</v>
      </c>
      <c r="M64" s="66"/>
    </row>
    <row r="65" spans="10:10" s="82" customFormat="1" hidden="1">
      <c r="J65" s="166" t="str">
        <f>IF(Setup!$B$19&gt;5,LEFT('AL MD'!D8,FIND(" ",'AL MD'!D8)-1))</f>
        <v>ΒΕΛΙΒΑΣΣΑΚΗ</v>
      </c>
    </row>
    <row r="66" spans="10:10" s="82" customFormat="1" hidden="1">
      <c r="J66" s="166" t="str">
        <f>IF(Setup!$B$19&gt;6,LEFT('AL MD'!D9,FIND(" ",'AL MD'!D9)-1))</f>
        <v>ΚΡΟΝΤΗΡΑ</v>
      </c>
    </row>
    <row r="67" spans="10:10" s="82" customFormat="1" hidden="1">
      <c r="J67" s="166" t="str">
        <f>IF(Setup!$B$19&gt;7,LEFT('AL MD'!D10,FIND(" ",'AL MD'!D10)-1))</f>
        <v>ΒΑΡΒΕΡΑΚΗ</v>
      </c>
    </row>
    <row r="68" spans="10:10" s="82" customFormat="1" ht="12">
      <c r="J68" s="133"/>
    </row>
    <row r="69" spans="10:10" s="82" customFormat="1" ht="12">
      <c r="J69" s="133"/>
    </row>
    <row r="70" spans="10:10" s="82" customFormat="1" ht="12">
      <c r="J70" s="133"/>
    </row>
    <row r="71" spans="10:10" s="82" customFormat="1" ht="12">
      <c r="J71" s="133"/>
    </row>
    <row r="72" spans="10:10" s="82" customFormat="1" ht="12">
      <c r="J72" s="133"/>
    </row>
    <row r="73" spans="10:10" s="82" customFormat="1" ht="12">
      <c r="J73" s="133"/>
    </row>
    <row r="74" spans="10:10" s="82" customFormat="1" ht="12">
      <c r="J74" s="133"/>
    </row>
    <row r="75" spans="10:10" s="82" customFormat="1" ht="12">
      <c r="J75" s="133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2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>
    <oddFooter>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94" zoomScaleNormal="94" workbookViewId="0">
      <pane ySplit="1" topLeftCell="A2" activePane="bottomLeft" state="frozen"/>
      <selection activeCell="B3" sqref="B3"/>
      <selection pane="bottomLeft" activeCell="N23" sqref="N23"/>
    </sheetView>
  </sheetViews>
  <sheetFormatPr defaultColWidth="5.140625" defaultRowHeight="11.25"/>
  <cols>
    <col min="1" max="1" width="2.42578125" style="65" bestFit="1" customWidth="1"/>
    <col min="2" max="2" width="2.42578125" style="65" hidden="1" customWidth="1"/>
    <col min="3" max="3" width="6" style="60" hidden="1" customWidth="1"/>
    <col min="4" max="4" width="5.28515625" style="61" hidden="1" customWidth="1"/>
    <col min="5" max="5" width="4.7109375" style="61" hidden="1" customWidth="1"/>
    <col min="6" max="6" width="3" style="65" bestFit="1" customWidth="1"/>
    <col min="7" max="7" width="4" style="60" bestFit="1" customWidth="1"/>
    <col min="8" max="8" width="3.140625" style="60" bestFit="1" customWidth="1"/>
    <col min="9" max="9" width="5.5703125" style="115" customWidth="1"/>
    <col min="10" max="10" width="33.140625" style="65" customWidth="1"/>
    <col min="11" max="11" width="20.5703125" style="65" hidden="1" customWidth="1"/>
    <col min="12" max="12" width="23.140625" style="65" bestFit="1" customWidth="1"/>
    <col min="13" max="13" width="1.42578125" style="66" bestFit="1" customWidth="1"/>
    <col min="14" max="14" width="14.140625" style="65" bestFit="1" customWidth="1"/>
    <col min="15" max="15" width="1.42578125" style="120" bestFit="1" customWidth="1"/>
    <col min="16" max="16" width="14.140625" style="65" bestFit="1" customWidth="1"/>
    <col min="17" max="17" width="1.42578125" style="120" bestFit="1" customWidth="1"/>
    <col min="18" max="18" width="14.140625" style="214" bestFit="1" customWidth="1"/>
    <col min="19" max="19" width="0.85546875" style="118" customWidth="1"/>
    <col min="20" max="16384" width="5.140625" style="65"/>
  </cols>
  <sheetData>
    <row r="1" spans="1:19" s="112" customFormat="1" ht="21" customHeight="1">
      <c r="A1" s="563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394"/>
      <c r="R1" s="395" t="str">
        <f>Setup!B7</f>
        <v>Κ14</v>
      </c>
      <c r="S1" s="396"/>
    </row>
    <row r="2" spans="1:19">
      <c r="A2" s="297"/>
      <c r="B2" s="298">
        <f>Setup!$B$77</f>
        <v>6</v>
      </c>
      <c r="C2" s="298"/>
      <c r="D2" s="299"/>
      <c r="E2" s="299"/>
      <c r="G2" s="301"/>
      <c r="H2" s="301"/>
      <c r="I2" s="301" t="str">
        <f>"p"&amp;VLOOKUP(Setup!$B$5,tmp!$J$14:$P$23,3,FALSE)</f>
        <v>p4</v>
      </c>
      <c r="J2" s="301"/>
      <c r="K2" s="301"/>
      <c r="L2" s="301"/>
      <c r="M2" s="301"/>
      <c r="N2" s="301" t="str">
        <f>"p"&amp;VLOOKUP(Setup!$B$5,tmp!$J$14:$P$23,4,FALSE)</f>
        <v>p5</v>
      </c>
      <c r="O2" s="301"/>
      <c r="P2" s="301" t="str">
        <f>"p"&amp;VLOOKUP(Setup!$B$5,tmp!$J$14:$P$23,5,FALSE)</f>
        <v>p7,5</v>
      </c>
      <c r="Q2" s="301"/>
      <c r="R2" s="301" t="str">
        <f>"p"&amp;VLOOKUP(Setup!$B$5,tmp!$J$14:$P$23,6,FALSE)&amp;"-"&amp;VLOOKUP(Setup!$B$5,tmp!$J$14:$P$23,7,FALSE)</f>
        <v>p12,5-15</v>
      </c>
      <c r="S2" s="397"/>
    </row>
    <row r="3" spans="1:19">
      <c r="J3" s="562">
        <v>16</v>
      </c>
      <c r="K3" s="562"/>
      <c r="L3" s="562"/>
      <c r="M3" s="63"/>
      <c r="N3" s="335">
        <v>8</v>
      </c>
      <c r="O3" s="323"/>
      <c r="P3" s="335">
        <v>4</v>
      </c>
      <c r="Q3" s="323"/>
      <c r="R3" s="324">
        <v>2</v>
      </c>
      <c r="S3" s="325"/>
    </row>
    <row r="4" spans="1:19" s="60" customFormat="1">
      <c r="A4" s="398" t="s">
        <v>9</v>
      </c>
      <c r="B4" s="399"/>
      <c r="C4" s="400" t="s">
        <v>25</v>
      </c>
      <c r="D4" s="400" t="s">
        <v>33</v>
      </c>
      <c r="E4" s="400" t="s">
        <v>34</v>
      </c>
      <c r="F4" s="398" t="s">
        <v>19</v>
      </c>
      <c r="G4" s="398" t="s">
        <v>10</v>
      </c>
      <c r="H4" s="398" t="s">
        <v>42</v>
      </c>
      <c r="I4" s="398" t="s">
        <v>7</v>
      </c>
      <c r="J4" s="401" t="s">
        <v>6</v>
      </c>
      <c r="K4" s="400" t="s">
        <v>28</v>
      </c>
      <c r="L4" s="401" t="s">
        <v>8</v>
      </c>
      <c r="M4" s="58"/>
      <c r="O4" s="326"/>
      <c r="Q4" s="326"/>
      <c r="R4" s="402"/>
      <c r="S4" s="298"/>
    </row>
    <row r="5" spans="1:19" ht="12">
      <c r="A5" s="67">
        <v>1</v>
      </c>
      <c r="B5" s="314">
        <v>1</v>
      </c>
      <c r="C5" s="259"/>
      <c r="D5" s="310"/>
      <c r="E5" s="265">
        <v>0</v>
      </c>
      <c r="F5" s="403">
        <f>IF(NOT($G5="-"),VLOOKUP($G5,'AL MD'!$A$3:$G$18,2,FALSE),"")</f>
        <v>0</v>
      </c>
      <c r="G5" s="404">
        <f>VLOOKUP($B5,Setup!$G$71:$H$86,2,FALSE)</f>
        <v>1</v>
      </c>
      <c r="H5" s="405">
        <f>IF($I5&gt;0,VLOOKUP($G5,'AL MD'!$A$3:$G$18,6,FALSE),0)</f>
        <v>126</v>
      </c>
      <c r="I5" s="406">
        <f>IF(Setup!$B$25="#",0,IF($G5&gt;0,VLOOKUP($G5,'AL MD'!$A$3:$G$18,3,FALSE),0))</f>
        <v>29656</v>
      </c>
      <c r="J5" s="407" t="str">
        <f>IF($I5&gt;0,VLOOKUP($I5,'AL MD'!$C$3:$G$18,2,FALSE),"bye")</f>
        <v>ΜΙΟΥΜΠΗ ΜΥΡΙΑΜ</v>
      </c>
      <c r="K5" s="457" t="str">
        <f t="shared" ref="K5:K20" si="0">IF(NOT(I5&gt;0),"", IF(ISERROR(FIND("-",J5)), LEFT(J5,FIND(" ",J5)-1), IF(FIND("-",J5)&gt;FIND(" ",J5),LEFT(J5,FIND(" ",J5)-1), LEFT(J5,FIND("-",J5)-1) )))</f>
        <v>ΜΙΟΥΜΠΗ</v>
      </c>
      <c r="L5" s="408" t="str">
        <f>IF($I5&gt;0,VLOOKUP($I5,'AL MD'!$C$3:$G$18,3,FALSE),"")</f>
        <v>Ο.Α.ΧΑΝΙΩΝ</v>
      </c>
      <c r="M5" s="68">
        <v>1</v>
      </c>
      <c r="N5" s="296" t="str">
        <f>UPPER(IF($A$2="R",IF(OR(M5=1,M5="a"),I5,IF(OR(M5=2,M5="b"),I6,"")),IF(OR(M5=1,M5="1"),K5,IF(OR(M5=2,M5="b"),K6,""))))</f>
        <v>ΜΙΟΥΜΠΗ</v>
      </c>
      <c r="O5" s="118"/>
      <c r="P5" s="70"/>
      <c r="R5" s="70"/>
    </row>
    <row r="6" spans="1:19" ht="12">
      <c r="A6" s="75">
        <v>2</v>
      </c>
      <c r="B6" s="315">
        <f>1-D6+4</f>
        <v>4</v>
      </c>
      <c r="C6" s="312">
        <v>1</v>
      </c>
      <c r="D6" s="311">
        <f>E6</f>
        <v>1</v>
      </c>
      <c r="E6" s="308">
        <f>IF($B$2&gt;=C6,1,0)</f>
        <v>1</v>
      </c>
      <c r="F6" s="409" t="str">
        <f>IF(NOT($G6="-"),VLOOKUP($G6,'AL MD'!$A$3:$G$18,2,FALSE),"")</f>
        <v/>
      </c>
      <c r="G6" s="409" t="str">
        <f>IF($B$2&gt;=C6,"-",VLOOKUP($B6,Setup!$G$71:$H$86,2,FALSE))</f>
        <v>-</v>
      </c>
      <c r="H6" s="410">
        <f>IF($I6&gt;0,VLOOKUP($G6,'AL MD'!$A$3:$G$18,6,FALSE),0)</f>
        <v>0</v>
      </c>
      <c r="I6" s="410">
        <f>IF(Setup!$B$25="#",0,IF(NOT($G6="-"),VLOOKUP($G6,'AL MD'!$A$3:$G$18,3,FALSE),0))</f>
        <v>0</v>
      </c>
      <c r="J6" s="167" t="str">
        <f>IF($I6&gt;0,VLOOKUP($I6,'AL MD'!$C$3:$G$18,2,FALSE),"bye")</f>
        <v>bye</v>
      </c>
      <c r="K6" s="458" t="str">
        <f t="shared" si="0"/>
        <v/>
      </c>
      <c r="L6" s="411" t="str">
        <f>IF($I6&gt;0,VLOOKUP($I6,'AL MD'!$C$3:$G$18,3,FALSE),"")</f>
        <v/>
      </c>
      <c r="M6" s="74"/>
      <c r="N6" s="412"/>
      <c r="O6" s="68">
        <v>1</v>
      </c>
      <c r="P6" s="296" t="str">
        <f>UPPER(IF($A$2="R",IF(OR(O6=1,O6="a"),N5,IF(OR(O6=2,O6="b"),N7,"")),IF(OR(O6=1,O6="a"),N5,IF(OR(O6=2,O6="b"),N7,""))))</f>
        <v>ΜΙΟΥΜΠΗ</v>
      </c>
      <c r="Q6" s="118"/>
      <c r="R6" s="70"/>
    </row>
    <row r="7" spans="1:19" ht="12">
      <c r="A7" s="413">
        <v>3</v>
      </c>
      <c r="B7" s="315">
        <f>2-D7+4</f>
        <v>5</v>
      </c>
      <c r="C7" s="313"/>
      <c r="D7" s="311">
        <f t="shared" ref="D7:D20" si="1">D6+E7</f>
        <v>1</v>
      </c>
      <c r="E7" s="309">
        <v>0</v>
      </c>
      <c r="F7" s="414">
        <f>IF(NOT($G7="-"),VLOOKUP($G7,'AL MD'!$A$3:$G$18,2,FALSE),"")</f>
        <v>0</v>
      </c>
      <c r="G7" s="414">
        <f>VLOOKUP($B7,Setup!$G$71:$H$86,2,FALSE)</f>
        <v>6</v>
      </c>
      <c r="H7" s="415">
        <f>IF($I7&gt;0,VLOOKUP($G7,'AL MD'!$A$3:$G$18,6,FALSE),0)</f>
        <v>43</v>
      </c>
      <c r="I7" s="415" t="str">
        <f>IF(Setup!$B$25="#",0,IF($G7&gt;0,VLOOKUP($G7,'AL MD'!$A$3:$G$18,3,FALSE),0))</f>
        <v>31852</v>
      </c>
      <c r="J7" s="416" t="str">
        <f>IF($I7&gt;0,VLOOKUP($I7,'AL MD'!$C$3:$G$18,2,FALSE),"bye")</f>
        <v>ΒΕΛΙΒΑΣΣΑΚΗ ΧΑΡΑ</v>
      </c>
      <c r="K7" s="427" t="str">
        <f t="shared" si="0"/>
        <v>ΒΕΛΙΒΑΣΣΑΚΗ</v>
      </c>
      <c r="L7" s="417" t="str">
        <f>IF($I7&gt;0,VLOOKUP($I7,'AL MD'!$C$3:$G$18,3,FALSE),"")</f>
        <v>"ΗΡΑΚΛΕΙΟ" Ο.Α.Α.</v>
      </c>
      <c r="M7" s="68">
        <v>1</v>
      </c>
      <c r="N7" s="296" t="str">
        <f>UPPER(IF($A$2="R",IF(OR(M7=1,M7="a"),I7,IF(OR(M7=2,M7="b"),I8,"")),IF(OR(M7=1,M7="a"),K7,IF(OR(M7=2,M7="b"),K8,""))))</f>
        <v>ΒΕΛΙΒΑΣΣΑΚΗ</v>
      </c>
      <c r="O7" s="74"/>
      <c r="P7" s="412" t="s">
        <v>143</v>
      </c>
      <c r="Q7" s="118"/>
      <c r="R7" s="70"/>
    </row>
    <row r="8" spans="1:19" ht="12">
      <c r="A8" s="418">
        <v>4</v>
      </c>
      <c r="B8" s="315">
        <f>3-D8+4</f>
        <v>6</v>
      </c>
      <c r="C8" s="312">
        <v>7</v>
      </c>
      <c r="D8" s="311">
        <f t="shared" si="1"/>
        <v>1</v>
      </c>
      <c r="E8" s="308">
        <f>IF($B$2&gt;=C8,1,0)</f>
        <v>0</v>
      </c>
      <c r="F8" s="419">
        <f>IF(NOT($G8="-"),VLOOKUP($G8,'AL MD'!$A$3:$G$18,2,FALSE),"")</f>
        <v>0</v>
      </c>
      <c r="G8" s="419">
        <f>IF($B$2&gt;=C8,"-",VLOOKUP($B8,Setup!$G$71:$H$86,2,FALSE))</f>
        <v>9</v>
      </c>
      <c r="H8" s="420">
        <f>IF($I8&gt;0,VLOOKUP($G8,'AL MD'!$A$3:$G$18,6,FALSE),0)</f>
        <v>31</v>
      </c>
      <c r="I8" s="420" t="str">
        <f>IF(Setup!$B$25="#",0,IF(NOT($G8="-"),VLOOKUP($G8,'AL MD'!$A$3:$G$18,3,FALSE),0))</f>
        <v>30449</v>
      </c>
      <c r="J8" s="421" t="str">
        <f>IF($I8&gt;0,VLOOKUP($I8,'AL MD'!$C$3:$G$18,2,FALSE),"bye")</f>
        <v>ΚΑΠΕΤΑΝΑΚΗ ΕΛΕΝΑ</v>
      </c>
      <c r="K8" s="458" t="str">
        <f t="shared" si="0"/>
        <v>ΚΑΠΕΤΑΝΑΚΗ</v>
      </c>
      <c r="L8" s="422" t="str">
        <f>IF($I8&gt;0,VLOOKUP($I8,'AL MD'!$C$3:$G$18,3,FALSE),"")</f>
        <v>"ΗΡΑΚΛΕΙΟ" Ο.Α.Α.</v>
      </c>
      <c r="M8" s="74"/>
      <c r="N8" s="61" t="s">
        <v>141</v>
      </c>
      <c r="O8" s="118"/>
      <c r="P8" s="423"/>
      <c r="Q8" s="73">
        <v>1</v>
      </c>
      <c r="R8" s="410" t="str">
        <f>UPPER(IF($A$2="R",IF(OR(Q8=1,Q8="a"),P6,IF(OR(Q8=2,Q8="b"),P10,"")),IF(OR(Q8=1,Q8="a"),P6,IF(OR(Q8=2,Q8="b"),P10,""))))</f>
        <v>ΜΙΟΥΜΠΗ</v>
      </c>
    </row>
    <row r="9" spans="1:19" ht="12">
      <c r="A9" s="67">
        <v>5</v>
      </c>
      <c r="B9" s="314">
        <f>VALUE(Setup!E61)</f>
        <v>3</v>
      </c>
      <c r="C9" s="313"/>
      <c r="D9" s="311">
        <f t="shared" si="1"/>
        <v>1</v>
      </c>
      <c r="E9" s="309">
        <v>0</v>
      </c>
      <c r="F9" s="403">
        <f>IF(NOT($G9="-"),VLOOKUP($G9,'AL MD'!$A$3:$G$18,2,FALSE),"")</f>
        <v>0</v>
      </c>
      <c r="G9" s="404">
        <f>VLOOKUP($B9,Setup!$G$71:$H$86,2,FALSE)</f>
        <v>3</v>
      </c>
      <c r="H9" s="405">
        <f>IF($I9&gt;0,VLOOKUP($G9,'AL MD'!$A$3:$G$18,6,FALSE),0)</f>
        <v>84</v>
      </c>
      <c r="I9" s="406">
        <f>IF(Setup!$B$25="#",0,IF($G9&gt;0,VLOOKUP($G9,'AL MD'!$A$3:$G$18,3,FALSE),0))</f>
        <v>29654</v>
      </c>
      <c r="J9" s="407" t="str">
        <f>IF($I9&gt;0,VLOOKUP($I9,'AL MD'!$C$3:$G$18,2,FALSE),"bye")</f>
        <v>ΚΟΥΚΛΑΚΗ ΕΥΓΕΝΙΑ</v>
      </c>
      <c r="K9" s="457" t="str">
        <f t="shared" si="0"/>
        <v>ΚΟΥΚΛΑΚΗ</v>
      </c>
      <c r="L9" s="408" t="str">
        <f>IF($I9&gt;0,VLOOKUP($I9,'AL MD'!$C$3:$G$18,3,FALSE),"")</f>
        <v>Ο.Α.ΧΑΝΙΩΝ</v>
      </c>
      <c r="M9" s="121">
        <v>1</v>
      </c>
      <c r="N9" s="296" t="str">
        <f>UPPER(IF($A$2="R",IF(OR(M9=1,M9="a"),I9,IF(OR(M9=2,M9="b"),I10,"")),IF(OR(M9=1,M9="a"),K9,IF(OR(M9=2,M9="b"),K10,""))))</f>
        <v>ΚΟΥΚΛΑΚΗ</v>
      </c>
      <c r="O9" s="118"/>
      <c r="P9" s="423"/>
      <c r="Q9" s="118"/>
      <c r="R9" s="424" t="s">
        <v>147</v>
      </c>
    </row>
    <row r="10" spans="1:19" ht="12">
      <c r="A10" s="75">
        <v>6</v>
      </c>
      <c r="B10" s="315">
        <f>4-D10+4</f>
        <v>6</v>
      </c>
      <c r="C10" s="425">
        <f>IF(Setup!E2=3,3,4)</f>
        <v>4</v>
      </c>
      <c r="D10" s="311">
        <f t="shared" si="1"/>
        <v>2</v>
      </c>
      <c r="E10" s="308">
        <f>IF($B$2&gt;=C10,1,0)</f>
        <v>1</v>
      </c>
      <c r="F10" s="409" t="str">
        <f>IF(NOT($G10="-"),VLOOKUP($G10,'AL MD'!$A$3:$G$18,2,FALSE),"")</f>
        <v/>
      </c>
      <c r="G10" s="409" t="str">
        <f>IF($B$2&gt;=C10,"-",VLOOKUP($B10,Setup!$G$71:$H$86,2,FALSE))</f>
        <v>-</v>
      </c>
      <c r="H10" s="410">
        <f>IF( $I10&gt;0,VLOOKUP($G10,'AL MD'!$A$3:$G$18,6,FALSE),0)</f>
        <v>0</v>
      </c>
      <c r="I10" s="410">
        <f>IF(Setup!$B$25="#",0,IF(NOT($G10="-"),VLOOKUP($G10,'AL MD'!$A$3:$G$18,3,FALSE),0))</f>
        <v>0</v>
      </c>
      <c r="J10" s="167" t="str">
        <f>IF($I10&gt;0,VLOOKUP($I10,'AL MD'!$C$3:$G$18,2,FALSE),"bye")</f>
        <v>bye</v>
      </c>
      <c r="K10" s="458" t="str">
        <f t="shared" si="0"/>
        <v/>
      </c>
      <c r="L10" s="411" t="str">
        <f>IF($I10&gt;0,VLOOKUP($I10,'AL MD'!$C$3:$G$18,3,FALSE),"")</f>
        <v/>
      </c>
      <c r="M10" s="74"/>
      <c r="N10" s="412"/>
      <c r="O10" s="68">
        <v>1</v>
      </c>
      <c r="P10" s="296" t="str">
        <f>UPPER(IF($A$2="R",IF(OR(O10=1,O10="a"),N9,IF(OR(O10=2,O10="b"),N11,"")),IF(OR(O10=1,O10="a"),N9,IF(OR(O10=2,O10="b"),N11,""))))</f>
        <v>ΚΟΥΚΛΑΚΗ</v>
      </c>
      <c r="Q10" s="122"/>
      <c r="R10" s="426"/>
    </row>
    <row r="11" spans="1:19" ht="12">
      <c r="A11" s="413">
        <v>7</v>
      </c>
      <c r="B11" s="315">
        <f>5-D11+4</f>
        <v>6</v>
      </c>
      <c r="C11" s="312">
        <v>5</v>
      </c>
      <c r="D11" s="311">
        <f t="shared" si="1"/>
        <v>3</v>
      </c>
      <c r="E11" s="308">
        <f>IF($B$2&gt;=C11,1,0)</f>
        <v>1</v>
      </c>
      <c r="F11" s="414" t="str">
        <f>IF(NOT($G11="-"),VLOOKUP($G11,'AL MD'!$A$3:$G$18,2,FALSE),"")</f>
        <v/>
      </c>
      <c r="G11" s="414" t="str">
        <f>IF($B$2&gt;=C11,"-",VLOOKUP($B11,Setup!$G$71:$H$86,2,FALSE))</f>
        <v>-</v>
      </c>
      <c r="H11" s="415">
        <f>IF($I11&gt;0,VLOOKUP($G11,'AL MD'!$A$3:$G$18,6,FALSE),0)</f>
        <v>0</v>
      </c>
      <c r="I11" s="415">
        <f>IF(Setup!$B$25="#",0,IF(NOT($G11="-"),VLOOKUP($G11,'AL MD'!$A$3:$G$18,3,FALSE),0))</f>
        <v>0</v>
      </c>
      <c r="J11" s="416" t="str">
        <f>IF($I11&gt;0,VLOOKUP($I11,'AL MD'!$C$3:$G$18,2,FALSE),"bye")</f>
        <v>bye</v>
      </c>
      <c r="K11" s="427" t="str">
        <f t="shared" si="0"/>
        <v/>
      </c>
      <c r="L11" s="417" t="str">
        <f>IF($I11&gt;0,VLOOKUP($I11,'AL MD'!$C$3:$G$18,3,FALSE),"")</f>
        <v/>
      </c>
      <c r="M11" s="68">
        <v>2</v>
      </c>
      <c r="N11" s="296" t="str">
        <f>UPPER(IF($A$2="R",IF(OR(M11=1,M11="a"),I11,IF(OR(M11=2,M11="b"),I12,"")),IF(OR(M11=1,M11="a"),K11,IF(OR(M11=2,M11="b"),K12,""))))</f>
        <v>ΚΟΥΡΙΔΑΚΗ</v>
      </c>
      <c r="O11" s="74"/>
      <c r="P11" s="427" t="s">
        <v>144</v>
      </c>
      <c r="Q11" s="118"/>
      <c r="R11" s="426"/>
    </row>
    <row r="12" spans="1:19" ht="12">
      <c r="A12" s="418">
        <v>8</v>
      </c>
      <c r="B12" s="315">
        <f>6-D12+4</f>
        <v>7</v>
      </c>
      <c r="C12" s="313"/>
      <c r="D12" s="311">
        <f t="shared" si="1"/>
        <v>3</v>
      </c>
      <c r="E12" s="309">
        <v>0</v>
      </c>
      <c r="F12" s="419">
        <f>IF(NOT($G12="-"),VLOOKUP($G12,'AL MD'!$A$3:$G$18,2,FALSE),"")</f>
        <v>0</v>
      </c>
      <c r="G12" s="428">
        <f>VLOOKUP($B12,Setup!$G$71:$H$86,2,FALSE)</f>
        <v>5</v>
      </c>
      <c r="H12" s="420">
        <f>IF($I12&gt;0,VLOOKUP($G12,'AL MD'!$A$3:$G$18,6,FALSE),0)</f>
        <v>73</v>
      </c>
      <c r="I12" s="420">
        <f>IF(Setup!$B$25="#",0,IF($G12&gt;0,VLOOKUP($G12,'AL MD'!$A$3:$G$18,3,FALSE),0))</f>
        <v>30099</v>
      </c>
      <c r="J12" s="421" t="str">
        <f>IF($I12&gt;0,VLOOKUP($I12,'AL MD'!$C$3:$G$18,2,FALSE),"bye")</f>
        <v>ΚΟΥΡΙΔΑΚΗ ΑΘΗΝΑ</v>
      </c>
      <c r="K12" s="458" t="str">
        <f t="shared" si="0"/>
        <v>ΚΟΥΡΙΔΑΚΗ</v>
      </c>
      <c r="L12" s="422" t="str">
        <f>IF($I12&gt;0,VLOOKUP($I12,'AL MD'!$C$3:$G$18,3,FALSE),"")</f>
        <v>Ο.Α.ΧΑΝΙΩΝ</v>
      </c>
      <c r="M12" s="74"/>
      <c r="N12" s="427"/>
      <c r="P12" s="70"/>
      <c r="Q12" s="73">
        <v>2</v>
      </c>
      <c r="R12" s="429" t="str">
        <f>UPPER(IF($A$2="R",IF(OR(Q12=1,Q12="a"),R8,IF(OR(Q12=2,Q12="b"),R16,"")),IF(OR(Q12=1,Q12="a"),R8,IF(OR(Q12=2,Q12="b"),R16,""))))</f>
        <v>ΜΑΡΝΑΙΛΟΥ</v>
      </c>
      <c r="S12" s="122"/>
    </row>
    <row r="13" spans="1:19" ht="12">
      <c r="A13" s="71">
        <v>9</v>
      </c>
      <c r="B13" s="314">
        <f>VALUE(Setup!E62)</f>
        <v>4</v>
      </c>
      <c r="C13" s="313"/>
      <c r="D13" s="311">
        <f t="shared" si="1"/>
        <v>3</v>
      </c>
      <c r="E13" s="309">
        <v>0</v>
      </c>
      <c r="F13" s="402">
        <f>IF(NOT($G13="-"),VLOOKUP($G13,'AL MD'!$A$3:$G$18,2,FALSE),"")</f>
        <v>0</v>
      </c>
      <c r="G13" s="430">
        <f>VLOOKUP($B13,Setup!$G$71:$H$86,2,FALSE)</f>
        <v>4</v>
      </c>
      <c r="H13" s="431">
        <f>IF($I13&gt;0,VLOOKUP($G13,'AL MD'!$A$3:$G$18,6,FALSE),0)</f>
        <v>81</v>
      </c>
      <c r="I13" s="432">
        <f>IF(Setup!$B$25="#",0,IF($G13&gt;0,VLOOKUP($G13,'AL MD'!$A$3:$G$18,3,FALSE),0))</f>
        <v>29655</v>
      </c>
      <c r="J13" s="433" t="str">
        <f>IF($I13&gt;0,VLOOKUP($I13,'AL MD'!$C$3:$G$18,2,FALSE),"bye")</f>
        <v>ΜΠΑΛΑΣΚΑ ΒΑΣΙΛΙΚΗ</v>
      </c>
      <c r="K13" s="117" t="str">
        <f t="shared" si="0"/>
        <v>ΜΠΑΛΑΣΚΑ</v>
      </c>
      <c r="L13" s="434" t="str">
        <f>IF($I13&gt;0,VLOOKUP($I13,'AL MD'!$C$3:$G$18,3,FALSE),"")</f>
        <v>Ο Α ΣΟΥΔΑΣ</v>
      </c>
      <c r="M13" s="68">
        <v>1</v>
      </c>
      <c r="N13" s="296" t="str">
        <f>UPPER(IF($A$2="R",IF(OR(M13=1,M13="a"),I13,IF(OR(M13=2,M13="b"),I14,"")),IF(OR(M13=1,M13="a"),K13,IF(OR(M13=2,M13="b"),K14,""))))</f>
        <v>ΜΠΑΛΑΣΚΑ</v>
      </c>
      <c r="O13" s="118"/>
      <c r="P13" s="70"/>
      <c r="R13" s="435" t="s">
        <v>148</v>
      </c>
    </row>
    <row r="14" spans="1:19" ht="12">
      <c r="A14" s="71">
        <v>10</v>
      </c>
      <c r="B14" s="315">
        <f>7-D14+4</f>
        <v>7</v>
      </c>
      <c r="C14" s="425">
        <f>IF(Setup!E2=3,4,3)</f>
        <v>3</v>
      </c>
      <c r="D14" s="311">
        <f t="shared" si="1"/>
        <v>4</v>
      </c>
      <c r="E14" s="308">
        <f>IF($B$2&gt;=C14,1,0)</f>
        <v>1</v>
      </c>
      <c r="F14" s="402" t="str">
        <f>IF(NOT($G14="-"),VLOOKUP($G14,'AL MD'!$A$3:$G$18,2,FALSE),"")</f>
        <v/>
      </c>
      <c r="G14" s="402" t="str">
        <f>IF($B$2&gt;=C14,"-",VLOOKUP($B14,Setup!$G$71:$H$86,2,FALSE))</f>
        <v>-</v>
      </c>
      <c r="H14" s="431">
        <f>IF($I14&gt;0,VLOOKUP($G14,'AL MD'!$A$3:$G$18,6,FALSE),0)</f>
        <v>0</v>
      </c>
      <c r="I14" s="431">
        <f>IF(Setup!$B$25="#",0,IF(NOT($G14="-"),VLOOKUP($G14,'AL MD'!$A$3:$G$18,3,FALSE),0))</f>
        <v>0</v>
      </c>
      <c r="J14" s="436" t="str">
        <f>IF($I14&gt;0,VLOOKUP($I14,'AL MD'!$C$3:$G$18,2,FALSE),"bye")</f>
        <v>bye</v>
      </c>
      <c r="K14" s="70" t="str">
        <f t="shared" si="0"/>
        <v/>
      </c>
      <c r="L14" s="437" t="str">
        <f>IF($I14&gt;0,VLOOKUP($I14,'AL MD'!$C$3:$G$18,3,FALSE),"")</f>
        <v/>
      </c>
      <c r="M14" s="74"/>
      <c r="N14" s="412"/>
      <c r="O14" s="68">
        <v>1</v>
      </c>
      <c r="P14" s="296" t="str">
        <f>UPPER(IF($A$2="R",IF(OR(O14=1,O14="a"),N13,IF(OR(O14=2,O14="b"),N15,"")),IF(OR(O14=1,O14="a"),N13,IF(OR(O14=2,O14="b"),N15,""))))</f>
        <v>ΜΠΑΛΑΣΚΑ</v>
      </c>
      <c r="Q14" s="118"/>
      <c r="R14" s="426"/>
    </row>
    <row r="15" spans="1:19" ht="12">
      <c r="A15" s="413">
        <v>11</v>
      </c>
      <c r="B15" s="315">
        <f>8-D15+4</f>
        <v>8</v>
      </c>
      <c r="C15" s="313"/>
      <c r="D15" s="311">
        <f t="shared" si="1"/>
        <v>4</v>
      </c>
      <c r="E15" s="309">
        <v>0</v>
      </c>
      <c r="F15" s="414">
        <f>IF(NOT($G15="-"),VLOOKUP($G15,'AL MD'!$A$3:$G$18,2,FALSE),"")</f>
        <v>0</v>
      </c>
      <c r="G15" s="414">
        <f>VLOOKUP($B15,Setup!$G$71:$H$86,2,FALSE)</f>
        <v>8</v>
      </c>
      <c r="H15" s="415">
        <f>IF($I15&gt;0,VLOOKUP($G15,'AL MD'!$A$3:$G$18,6,FALSE),0)</f>
        <v>33.5</v>
      </c>
      <c r="I15" s="415">
        <f>IF(Setup!$B$25="#",0,IF($G15&gt;0,VLOOKUP($G15,'AL MD'!$A$3:$G$18,3,FALSE),0))</f>
        <v>30527</v>
      </c>
      <c r="J15" s="416" t="str">
        <f>IF($I15&gt;0,VLOOKUP($I15,'AL MD'!$C$3:$G$18,2,FALSE),"bye")</f>
        <v>ΒΑΡΒΕΡΑΚΗ ΜΑΡΙΑ</v>
      </c>
      <c r="K15" s="427" t="str">
        <f t="shared" si="0"/>
        <v>ΒΑΡΒΕΡΑΚΗ</v>
      </c>
      <c r="L15" s="417" t="str">
        <f>IF($I15&gt;0,VLOOKUP($I15,'AL MD'!$C$3:$G$18,3,FALSE),"")</f>
        <v>Ο.Α.ΧΑΝΙΩΝ</v>
      </c>
      <c r="M15" s="68">
        <v>1</v>
      </c>
      <c r="N15" s="296" t="str">
        <f>UPPER(IF($A$2="R",IF(OR(M15=1,M15="a"),I15,IF(OR(M15=2,M15="b"),I16,"")),IF(OR(M15=1,M15="a"),K15,IF(OR(M15=2,M15="b"),K16,""))))</f>
        <v>ΒΑΡΒΕΡΑΚΗ</v>
      </c>
      <c r="O15" s="74"/>
      <c r="P15" s="412" t="s">
        <v>142</v>
      </c>
      <c r="Q15" s="118"/>
      <c r="R15" s="426"/>
    </row>
    <row r="16" spans="1:19" ht="12">
      <c r="A16" s="418">
        <v>12</v>
      </c>
      <c r="B16" s="315">
        <f>9-D16+4</f>
        <v>8</v>
      </c>
      <c r="C16" s="312">
        <v>6</v>
      </c>
      <c r="D16" s="311">
        <f t="shared" si="1"/>
        <v>5</v>
      </c>
      <c r="E16" s="308">
        <f>IF($B$2&gt;=C16,1,0)</f>
        <v>1</v>
      </c>
      <c r="F16" s="419" t="str">
        <f>IF(NOT($G16="-"),VLOOKUP($G16,'AL MD'!$A$3:$G$18,2,FALSE),"")</f>
        <v/>
      </c>
      <c r="G16" s="419" t="str">
        <f>IF($B$2&gt;=C16,"-",VLOOKUP($B16,Setup!$G$71:$H$86,2,FALSE))</f>
        <v>-</v>
      </c>
      <c r="H16" s="420">
        <f>IF($I16&gt;0,VLOOKUP($G16,'AL MD'!$A$3:$G$18,6,FALSE),0)</f>
        <v>0</v>
      </c>
      <c r="I16" s="420">
        <f>IF(Setup!$B$25="#",0,IF(NOT($G16="-"),VLOOKUP($G16,'AL MD'!$A$3:$G$18,3,FALSE),0))</f>
        <v>0</v>
      </c>
      <c r="J16" s="421" t="str">
        <f>IF($I16&gt;0,VLOOKUP($I16,'AL MD'!$C$3:$G$18,2,FALSE),"bye")</f>
        <v>bye</v>
      </c>
      <c r="K16" s="458" t="str">
        <f t="shared" si="0"/>
        <v/>
      </c>
      <c r="L16" s="422" t="str">
        <f>IF($I16&gt;0,VLOOKUP($I16,'AL MD'!$C$3:$G$18,3,FALSE),"")</f>
        <v/>
      </c>
      <c r="M16" s="124"/>
      <c r="N16" s="427"/>
      <c r="O16" s="118"/>
      <c r="P16" s="423"/>
      <c r="Q16" s="73">
        <v>2</v>
      </c>
      <c r="R16" s="438" t="str">
        <f>UPPER(IF($A$2="R",IF(OR(Q16=1,Q16="a"),P14,IF(OR(Q16=2,Q16="b"),P18,"")),IF(OR(Q16=1,Q16="a"),P14,IF(OR(Q16=2,Q16="b"),P18,""))))</f>
        <v>ΜΑΡΝΑΙΛΟΥ</v>
      </c>
      <c r="S16" s="122"/>
    </row>
    <row r="17" spans="1:19" ht="12">
      <c r="A17" s="71">
        <v>13</v>
      </c>
      <c r="B17" s="315">
        <f>10-D17+4</f>
        <v>9</v>
      </c>
      <c r="C17" s="313"/>
      <c r="D17" s="311">
        <f t="shared" si="1"/>
        <v>5</v>
      </c>
      <c r="E17" s="309">
        <v>0</v>
      </c>
      <c r="F17" s="402">
        <f>IF(NOT($G17="-"),VLOOKUP($G17,'AL MD'!$A$3:$G$18,2,FALSE),"")</f>
        <v>0</v>
      </c>
      <c r="G17" s="402">
        <f>VLOOKUP($B17,Setup!$G$71:$H$86,2,FALSE)</f>
        <v>10</v>
      </c>
      <c r="H17" s="431">
        <f>IF($I17&gt;0,VLOOKUP($G17,'AL MD'!$A$3:$G$18,6,FALSE),0)</f>
        <v>0</v>
      </c>
      <c r="I17" s="431">
        <f>IF(Setup!$B$25="#",0,IF($G17&gt;0,VLOOKUP($G17,'AL MD'!$A$3:$G$18,3,FALSE),0))</f>
        <v>28188</v>
      </c>
      <c r="J17" s="436" t="str">
        <f>IF($I17&gt;0,VLOOKUP($I17,'AL MD'!$C$3:$G$18,2,FALSE),"bye")</f>
        <v>ΓΑΛΑΝΑΚΗ ΖΑΧΑΡΕΝΙΑ</v>
      </c>
      <c r="K17" s="70" t="str">
        <f t="shared" si="0"/>
        <v>ΓΑΛΑΝΑΚΗ</v>
      </c>
      <c r="L17" s="437" t="str">
        <f>IF($I17&gt;0,VLOOKUP($I17,'AL MD'!$C$3:$G$18,3,FALSE),"")</f>
        <v>Γ.Σ. ΛΙΒΥΚΟΣ ΙΕΡΑΠΕΤΡΑΣ</v>
      </c>
      <c r="M17" s="68">
        <v>2</v>
      </c>
      <c r="N17" s="296" t="str">
        <f>UPPER(IF($A$2="R",IF(OR(M17=1,M17="a"),I17,IF(OR(M17=2,M17="b"),I18,"")),IF(OR(M17=1,M17="a"),K17,IF(OR(M17=2,M17="b"),K18,""))))</f>
        <v>ΚΡΟΝΤΗΡΑ</v>
      </c>
      <c r="O17" s="118"/>
      <c r="P17" s="423"/>
      <c r="Q17" s="118"/>
      <c r="R17" s="402" t="s">
        <v>146</v>
      </c>
    </row>
    <row r="18" spans="1:19" ht="12">
      <c r="A18" s="71">
        <v>14</v>
      </c>
      <c r="B18" s="315">
        <f>11-D18+4</f>
        <v>10</v>
      </c>
      <c r="C18" s="312">
        <v>8</v>
      </c>
      <c r="D18" s="311">
        <f t="shared" si="1"/>
        <v>5</v>
      </c>
      <c r="E18" s="308">
        <f>IF($B$2&gt;=C18,1,0)</f>
        <v>0</v>
      </c>
      <c r="F18" s="402">
        <f>IF(NOT($G18="-"),VLOOKUP($G18,'AL MD'!$A$3:$G$18,2,FALSE),"")</f>
        <v>0</v>
      </c>
      <c r="G18" s="402">
        <f>IF($B$2&gt;=C18,"-",VLOOKUP($B18,Setup!$G$71:$H$86,2,FALSE))</f>
        <v>7</v>
      </c>
      <c r="H18" s="431">
        <f>IF($I18&gt;0,VLOOKUP($G18,'AL MD'!$A$3:$G$18,6,FALSE),0)</f>
        <v>34.5</v>
      </c>
      <c r="I18" s="431" t="str">
        <f>IF(Setup!$B$25="#",0,IF(NOT($G18="-"),VLOOKUP($G18,'AL MD'!$A$3:$G$18,3,FALSE),0))</f>
        <v>30596</v>
      </c>
      <c r="J18" s="436" t="str">
        <f>IF($I18&gt;0,VLOOKUP($I18,'AL MD'!$C$3:$G$18,2,FALSE),"bye")</f>
        <v>ΚΡΟΝΤΗΡΑ ΕΛΕΝΑ</v>
      </c>
      <c r="K18" s="70" t="str">
        <f t="shared" si="0"/>
        <v>ΚΡΟΝΤΗΡΑ</v>
      </c>
      <c r="L18" s="437" t="str">
        <f>IF($I18&gt;0,VLOOKUP($I18,'AL MD'!$C$3:$G$18,3,FALSE),"")</f>
        <v>"ΗΡΑΚΛΕΙΟ" Ο.Α.Α.</v>
      </c>
      <c r="M18" s="74"/>
      <c r="N18" s="412" t="s">
        <v>142</v>
      </c>
      <c r="O18" s="68">
        <v>2</v>
      </c>
      <c r="P18" s="296" t="str">
        <f>UPPER(IF($A$2="R",IF(OR(O18=1,O18="a"),N17,IF(OR(O18=2,O18="b"),N19,"")),IF(OR(O18=1,O18="a"),N17,IF(OR(O18=2,O18="b"),N19,""))))</f>
        <v>ΜΑΡΝΑΙΛΟΥ</v>
      </c>
      <c r="Q18" s="122"/>
      <c r="R18" s="70"/>
    </row>
    <row r="19" spans="1:19" ht="12">
      <c r="A19" s="413">
        <v>15</v>
      </c>
      <c r="B19" s="315">
        <f>12-D19+4</f>
        <v>10</v>
      </c>
      <c r="C19" s="312">
        <v>2</v>
      </c>
      <c r="D19" s="311">
        <f t="shared" si="1"/>
        <v>6</v>
      </c>
      <c r="E19" s="308">
        <f>IF($B$2&gt;=C19,1,0)</f>
        <v>1</v>
      </c>
      <c r="F19" s="414" t="str">
        <f>IF(NOT($G19="-"),VLOOKUP($G19,'AL MD'!$A$3:$G$18,2,FALSE),"")</f>
        <v/>
      </c>
      <c r="G19" s="414" t="str">
        <f>IF($B$2&gt;=C19,"-",VLOOKUP($B19,Setup!$G$71:$H$86,2,FALSE))</f>
        <v>-</v>
      </c>
      <c r="H19" s="415">
        <f>IF($I19&gt;0,VLOOKUP($G19,'AL MD'!$A$3:$G$18,6,FALSE),0)</f>
        <v>0</v>
      </c>
      <c r="I19" s="415">
        <f>IF(Setup!$B$25="#",0,IF(NOT($G19="-"),VLOOKUP($G19,'AL MD'!$A$3:$G$18,3,FALSE),0))</f>
        <v>0</v>
      </c>
      <c r="J19" s="416" t="str">
        <f>IF($I19&gt;0,VLOOKUP($I19,'AL MD'!$C$3:$G$18,2,FALSE),"bye")</f>
        <v>bye</v>
      </c>
      <c r="K19" s="427" t="str">
        <f t="shared" si="0"/>
        <v/>
      </c>
      <c r="L19" s="417" t="str">
        <f>IF($I19&gt;0,VLOOKUP($I19,'AL MD'!$C$3:$G$18,3,FALSE),"")</f>
        <v/>
      </c>
      <c r="M19" s="68">
        <v>2</v>
      </c>
      <c r="N19" s="296" t="str">
        <f>UPPER(IF($A$2="R",IF(OR(M19=1,M19="a"),I19,IF(OR(M19=2,M19="b"),I20,"")),IF(OR(M19=1,M19="a"),K19,IF(OR(M19=2,M19="b"),K20,""))))</f>
        <v>ΜΑΡΝΑΙΛΟΥ</v>
      </c>
      <c r="O19" s="74"/>
      <c r="P19" s="427" t="s">
        <v>145</v>
      </c>
      <c r="Q19" s="118"/>
      <c r="R19" s="70"/>
    </row>
    <row r="20" spans="1:19" ht="12">
      <c r="A20" s="418">
        <v>16</v>
      </c>
      <c r="B20" s="314">
        <v>2</v>
      </c>
      <c r="C20" s="313"/>
      <c r="D20" s="311">
        <f t="shared" si="1"/>
        <v>6</v>
      </c>
      <c r="E20" s="309">
        <v>0</v>
      </c>
      <c r="F20" s="419">
        <f>IF(NOT($G20="-"),VLOOKUP($G20,'AL MD'!$A$3:$G$18,2,FALSE),"")</f>
        <v>0</v>
      </c>
      <c r="G20" s="439">
        <f>VLOOKUP($B20,Setup!$G$71:$H$86,2,FALSE)</f>
        <v>2</v>
      </c>
      <c r="H20" s="420">
        <f>IF($I20&gt;0,VLOOKUP($G20,'AL MD'!$A$3:$G$18,6,FALSE),0)</f>
        <v>109</v>
      </c>
      <c r="I20" s="440">
        <f>IF(Setup!$B$25="#",0,IF($G20&gt;0,VLOOKUP($G20,'AL MD'!$A$3:$G$18,3,FALSE),0))</f>
        <v>28070</v>
      </c>
      <c r="J20" s="441" t="str">
        <f>IF($I20&gt;0,VLOOKUP($I20,'AL MD'!$C$3:$G$18,2,FALSE),"bye")</f>
        <v>ΜΑΡΝΑΙΛΟΥ ΜΑΙΡΗ</v>
      </c>
      <c r="K20" s="459" t="str">
        <f t="shared" si="0"/>
        <v>ΜΑΡΝΑΙΛΟΥ</v>
      </c>
      <c r="L20" s="442" t="str">
        <f>IF($I20&gt;0,VLOOKUP($I20,'AL MD'!$C$3:$G$18,3,FALSE),"")</f>
        <v>"ΗΡΑΚΛΕΙΟ" Ο.Α.Α.</v>
      </c>
      <c r="M20" s="74"/>
      <c r="N20" s="427"/>
      <c r="O20" s="118"/>
      <c r="P20" s="70"/>
      <c r="Q20" s="118"/>
      <c r="R20" s="70"/>
      <c r="S20" s="58"/>
    </row>
    <row r="21" spans="1:19">
      <c r="N21" s="443" t="s">
        <v>22</v>
      </c>
      <c r="P21" s="443" t="s">
        <v>22</v>
      </c>
      <c r="R21" s="443" t="s">
        <v>22</v>
      </c>
    </row>
    <row r="22" spans="1:19">
      <c r="G22" s="444"/>
      <c r="H22" s="444"/>
      <c r="P22" s="70"/>
    </row>
    <row r="23" spans="1:19">
      <c r="G23" s="402"/>
      <c r="H23" s="402"/>
      <c r="P23" s="214"/>
    </row>
    <row r="24" spans="1:19" s="79" customFormat="1" ht="9.75">
      <c r="C24" s="127"/>
      <c r="D24" s="128"/>
      <c r="E24" s="128"/>
      <c r="G24" s="127"/>
      <c r="H24" s="127"/>
      <c r="I24" s="128"/>
      <c r="J24" s="445" t="s">
        <v>35</v>
      </c>
      <c r="K24" s="446"/>
      <c r="M24" s="129"/>
      <c r="O24" s="130"/>
      <c r="Q24" s="130"/>
      <c r="R24" s="131"/>
      <c r="S24" s="78"/>
    </row>
    <row r="25" spans="1:19" s="79" customFormat="1" ht="9.75">
      <c r="C25" s="127"/>
      <c r="D25" s="128"/>
      <c r="E25" s="128"/>
      <c r="G25" s="127"/>
      <c r="H25" s="127"/>
      <c r="I25" s="128"/>
      <c r="J25" s="80" t="str">
        <f>"1. " &amp; IF(Setup!B78&gt;0,LEFT('AL MD'!D3,FIND(" ",'AL MD'!D3)+1),"")</f>
        <v>1. ΜΙΟΥΜΠΗ Μ</v>
      </c>
      <c r="K25" s="131"/>
      <c r="M25" s="132"/>
      <c r="N25" s="132"/>
      <c r="O25" s="130"/>
      <c r="Q25" s="130"/>
      <c r="R25" s="131"/>
      <c r="S25" s="78"/>
    </row>
    <row r="26" spans="1:19" s="79" customFormat="1" ht="9.75">
      <c r="C26" s="127"/>
      <c r="D26" s="128"/>
      <c r="E26" s="128"/>
      <c r="G26" s="127"/>
      <c r="H26" s="127"/>
      <c r="I26" s="128"/>
      <c r="J26" s="80" t="str">
        <f>"2. " &amp; IF(Setup!B78&gt;1,LEFT('AL MD'!D4,FIND(" ",'AL MD'!D4)+1),"")</f>
        <v>2. ΜΑΡΝΑΙΛΟΥ Μ</v>
      </c>
      <c r="K26" s="131"/>
      <c r="M26" s="129"/>
      <c r="O26" s="130"/>
      <c r="Q26" s="130"/>
      <c r="R26" s="77" t="s">
        <v>36</v>
      </c>
      <c r="S26" s="78"/>
    </row>
    <row r="27" spans="1:19" s="79" customFormat="1" ht="9.75">
      <c r="C27" s="127"/>
      <c r="D27" s="128"/>
      <c r="E27" s="128"/>
      <c r="G27" s="127"/>
      <c r="H27" s="127"/>
      <c r="I27" s="128"/>
      <c r="J27" s="80" t="str">
        <f>"3. " &amp; IF(Setup!B78&gt;2,LEFT('AL MD'!D5,FIND(" ",'AL MD'!D5)+1),"")</f>
        <v>3. ΚΟΥΚΛΑΚΗ Ε</v>
      </c>
      <c r="K27" s="131"/>
      <c r="M27" s="129"/>
      <c r="O27" s="130"/>
      <c r="Q27" s="130"/>
      <c r="R27" s="557" t="str">
        <f>Setup!$B$10</f>
        <v>Μαρίνα Μουτσάκη</v>
      </c>
      <c r="S27" s="557"/>
    </row>
    <row r="28" spans="1:19" s="79" customFormat="1" ht="9.75">
      <c r="C28" s="127"/>
      <c r="D28" s="128"/>
      <c r="E28" s="128"/>
      <c r="G28" s="127"/>
      <c r="H28" s="127"/>
      <c r="I28" s="128"/>
      <c r="J28" s="80" t="str">
        <f>"4. " &amp; IF(Setup!B78&gt;3,LEFT('AL MD'!D6,FIND(" ",'AL MD'!D6)+1),"")</f>
        <v>4. ΜΠΑΛΑΣΚΑ Β</v>
      </c>
      <c r="K28" s="131"/>
      <c r="M28" s="129"/>
      <c r="O28" s="130"/>
      <c r="Q28" s="130"/>
      <c r="R28" s="131"/>
      <c r="S28" s="78"/>
    </row>
    <row r="33" spans="3:19">
      <c r="C33" s="65"/>
      <c r="D33" s="65"/>
      <c r="E33" s="65"/>
      <c r="G33" s="65"/>
      <c r="H33" s="65"/>
      <c r="I33" s="65"/>
      <c r="M33" s="65"/>
      <c r="O33" s="65"/>
      <c r="Q33" s="65"/>
      <c r="R33" s="65"/>
      <c r="S33" s="65"/>
    </row>
    <row r="34" spans="3:19">
      <c r="C34" s="65"/>
      <c r="D34" s="65"/>
      <c r="E34" s="65"/>
      <c r="G34" s="65"/>
      <c r="H34" s="65"/>
      <c r="I34" s="65"/>
      <c r="M34" s="65"/>
      <c r="O34" s="65"/>
      <c r="Q34" s="65"/>
      <c r="R34" s="65"/>
      <c r="S34" s="65"/>
    </row>
    <row r="35" spans="3:19">
      <c r="C35" s="65"/>
      <c r="D35" s="65"/>
      <c r="E35" s="65"/>
      <c r="G35" s="65"/>
      <c r="H35" s="65"/>
      <c r="I35" s="65"/>
      <c r="M35" s="65"/>
      <c r="O35" s="65"/>
      <c r="Q35" s="65"/>
      <c r="R35" s="65"/>
      <c r="S35" s="65"/>
    </row>
    <row r="36" spans="3:19">
      <c r="C36" s="65"/>
      <c r="D36" s="65"/>
      <c r="E36" s="65"/>
      <c r="G36" s="65"/>
      <c r="H36" s="65"/>
      <c r="I36" s="65"/>
      <c r="M36" s="65"/>
      <c r="O36" s="65"/>
      <c r="Q36" s="65"/>
      <c r="R36" s="65"/>
      <c r="S36" s="65"/>
    </row>
    <row r="37" spans="3:19">
      <c r="C37" s="65"/>
      <c r="D37" s="65"/>
      <c r="E37" s="65"/>
      <c r="G37" s="65"/>
      <c r="H37" s="65"/>
      <c r="I37" s="65"/>
      <c r="M37" s="65"/>
      <c r="O37" s="65"/>
      <c r="Q37" s="65"/>
      <c r="R37" s="65"/>
      <c r="S37" s="65"/>
    </row>
    <row r="38" spans="3:19">
      <c r="C38" s="65"/>
      <c r="D38" s="65"/>
      <c r="E38" s="65"/>
      <c r="G38" s="65"/>
      <c r="H38" s="65"/>
      <c r="I38" s="65"/>
      <c r="M38" s="65"/>
      <c r="O38" s="65"/>
      <c r="Q38" s="65"/>
      <c r="R38" s="65"/>
      <c r="S38" s="65"/>
    </row>
    <row r="39" spans="3:19">
      <c r="C39" s="65"/>
      <c r="D39" s="65"/>
      <c r="E39" s="65"/>
      <c r="G39" s="65"/>
      <c r="H39" s="65"/>
      <c r="I39" s="65"/>
      <c r="J39" s="447"/>
      <c r="M39" s="65"/>
      <c r="O39" s="65"/>
      <c r="Q39" s="65"/>
      <c r="R39" s="65"/>
      <c r="S39" s="65"/>
    </row>
    <row r="40" spans="3:19">
      <c r="C40" s="65"/>
      <c r="D40" s="65"/>
      <c r="E40" s="65"/>
      <c r="G40" s="65"/>
      <c r="H40" s="65"/>
      <c r="I40" s="65"/>
      <c r="J40" s="448" t="s">
        <v>43</v>
      </c>
      <c r="M40" s="65"/>
      <c r="O40" s="65"/>
      <c r="Q40" s="65"/>
      <c r="R40" s="65"/>
      <c r="S40" s="65"/>
    </row>
    <row r="41" spans="3:19">
      <c r="C41" s="65"/>
      <c r="D41" s="65"/>
      <c r="E41" s="65"/>
      <c r="G41" s="65"/>
      <c r="H41" s="65"/>
      <c r="I41" s="65"/>
      <c r="J41" s="449" t="e">
        <f>IF(Setup!$B$19&gt;0,LEFT(AL MD!D3,FIND(" ",AL MD!D3)-1))</f>
        <v>#NAME?</v>
      </c>
      <c r="M41" s="65"/>
      <c r="O41" s="65"/>
      <c r="Q41" s="65"/>
      <c r="R41" s="65"/>
      <c r="S41" s="65"/>
    </row>
    <row r="42" spans="3:19">
      <c r="C42" s="65"/>
      <c r="D42" s="65"/>
      <c r="E42" s="65"/>
      <c r="G42" s="65"/>
      <c r="H42" s="65"/>
      <c r="I42" s="65"/>
      <c r="J42" s="449" t="e">
        <f>IF(Setup!$B$19&gt;1,LEFT(AL MD!D4,FIND(" ",AL MD!D4)-1))</f>
        <v>#NAME?</v>
      </c>
      <c r="M42" s="65"/>
      <c r="O42" s="65"/>
      <c r="Q42" s="65"/>
      <c r="R42" s="65"/>
      <c r="S42" s="65"/>
    </row>
    <row r="43" spans="3:19" ht="10.15" hidden="1" customHeight="1">
      <c r="C43" s="65"/>
      <c r="D43" s="65"/>
      <c r="E43" s="65"/>
      <c r="G43" s="65"/>
      <c r="H43" s="65"/>
      <c r="I43" s="65"/>
      <c r="J43" s="449" t="e">
        <f>IF(Setup!$B$19&gt;2,LEFT(AL MD!D5,FIND(" ",AL MD!D5)-1))</f>
        <v>#NAME?</v>
      </c>
      <c r="M43" s="65"/>
      <c r="O43" s="65"/>
      <c r="Q43" s="65"/>
      <c r="R43" s="65"/>
      <c r="S43" s="65"/>
    </row>
    <row r="44" spans="3:19" ht="10.15" hidden="1" customHeight="1">
      <c r="C44" s="65"/>
      <c r="D44" s="65"/>
      <c r="E44" s="65"/>
      <c r="G44" s="65"/>
      <c r="H44" s="65"/>
      <c r="I44" s="65"/>
      <c r="J44" s="449" t="e">
        <f>IF(Setup!$B$19&gt;3,LEFT(AL MD!D6,FIND(" ",AL MD!D6)-1))</f>
        <v>#NAME?</v>
      </c>
      <c r="M44" s="65"/>
      <c r="O44" s="65"/>
      <c r="Q44" s="65"/>
      <c r="R44" s="65"/>
      <c r="S44" s="65"/>
    </row>
    <row r="45" spans="3:19" ht="10.15" hidden="1" customHeight="1">
      <c r="C45" s="65"/>
      <c r="D45" s="65"/>
      <c r="E45" s="65"/>
      <c r="G45" s="65"/>
      <c r="H45" s="65"/>
      <c r="I45" s="65"/>
      <c r="J45" s="450"/>
      <c r="M45" s="65"/>
      <c r="O45" s="65"/>
      <c r="Q45" s="65"/>
      <c r="R45" s="65"/>
      <c r="S45" s="65"/>
    </row>
    <row r="46" spans="3:19" ht="10.15" hidden="1" customHeight="1">
      <c r="C46" s="65"/>
      <c r="D46" s="65"/>
      <c r="E46" s="65"/>
      <c r="G46" s="65"/>
      <c r="H46" s="65"/>
      <c r="I46" s="65"/>
      <c r="J46" s="133"/>
      <c r="M46" s="65"/>
      <c r="O46" s="65"/>
      <c r="Q46" s="65"/>
      <c r="R46" s="65"/>
      <c r="S46" s="65"/>
    </row>
    <row r="47" spans="3:19" ht="10.15" hidden="1" customHeight="1">
      <c r="C47" s="65"/>
      <c r="D47" s="65"/>
      <c r="E47" s="65"/>
      <c r="G47" s="65"/>
      <c r="H47" s="65"/>
      <c r="I47" s="65"/>
      <c r="J47" s="133"/>
      <c r="M47" s="65"/>
      <c r="O47" s="65"/>
      <c r="Q47" s="65"/>
      <c r="R47" s="65"/>
      <c r="S47" s="65"/>
    </row>
    <row r="48" spans="3:19" ht="12">
      <c r="C48" s="65"/>
      <c r="D48" s="65"/>
      <c r="E48" s="65"/>
      <c r="G48" s="65"/>
      <c r="H48" s="65"/>
      <c r="I48" s="65"/>
      <c r="J48" s="133"/>
      <c r="M48" s="65"/>
      <c r="O48" s="65"/>
      <c r="Q48" s="65"/>
      <c r="R48" s="65"/>
      <c r="S48" s="65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topLeftCell="A7" zoomScaleNormal="100" workbookViewId="0">
      <selection activeCell="B25" sqref="B25:B32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64" t="str">
        <f>Setup!$B$3 &amp; ", " &amp; Setup!$B$4 &amp; ", " &amp; Setup!$B$6  &amp; " (" &amp; Setup!$B$7 &amp; ")"</f>
        <v>Ζ΄ ΕΝΩΣΗ, 3ο Ε3 2014, Γ.Σ. ΛΙΒΥΚΟΣ ΙΕΡΑΠΕΤΡΑΣ (Κ14)</v>
      </c>
      <c r="B1" s="564"/>
      <c r="C1" s="564"/>
      <c r="D1" s="564"/>
      <c r="E1" s="564"/>
    </row>
    <row r="2" spans="1:5">
      <c r="A2" s="565" t="str">
        <f>Setup!$B$10</f>
        <v>Μαρίνα Μουτσάκη</v>
      </c>
      <c r="B2" s="565"/>
      <c r="C2" s="565"/>
      <c r="D2" s="565"/>
      <c r="E2" s="565"/>
    </row>
    <row r="3" spans="1:5" ht="13.15" customHeight="1">
      <c r="A3" s="16"/>
      <c r="B3" s="8"/>
      <c r="C3" s="8"/>
      <c r="D3" s="8"/>
      <c r="E3" s="8"/>
    </row>
    <row r="4" spans="1:5" ht="18">
      <c r="A4" s="566" t="s">
        <v>69</v>
      </c>
      <c r="B4" s="567"/>
      <c r="C4" s="567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 t="s">
        <v>44</v>
      </c>
    </row>
    <row r="7" spans="1:5">
      <c r="A7" s="16"/>
      <c r="B7" s="6"/>
      <c r="C7" s="3"/>
      <c r="D7" s="11"/>
      <c r="E7" s="3" t="s">
        <v>44</v>
      </c>
    </row>
    <row r="8" spans="1:5">
      <c r="A8" s="16"/>
      <c r="B8" s="6"/>
      <c r="C8" s="3"/>
      <c r="D8" s="11"/>
      <c r="E8" s="3" t="s">
        <v>44</v>
      </c>
    </row>
    <row r="9" spans="1:5">
      <c r="A9" s="16"/>
      <c r="B9" s="6"/>
      <c r="C9" s="3"/>
      <c r="D9" s="11"/>
      <c r="E9" s="3" t="s">
        <v>44</v>
      </c>
    </row>
    <row r="10" spans="1:5">
      <c r="A10" s="9"/>
      <c r="B10" s="6"/>
      <c r="C10" s="3"/>
      <c r="D10" s="11"/>
      <c r="E10" s="3" t="s">
        <v>44</v>
      </c>
    </row>
    <row r="11" spans="1:5">
      <c r="A11" s="16" t="s">
        <v>16</v>
      </c>
      <c r="B11" s="6"/>
      <c r="C11" s="3"/>
      <c r="D11" s="11"/>
      <c r="E11" s="3" t="s">
        <v>44</v>
      </c>
    </row>
    <row r="12" spans="1:5">
      <c r="A12" s="9"/>
      <c r="B12" s="6"/>
      <c r="C12" s="3"/>
      <c r="D12" s="11"/>
      <c r="E12" s="3" t="s">
        <v>44</v>
      </c>
    </row>
    <row r="13" spans="1:5">
      <c r="A13" s="9"/>
      <c r="B13" s="6"/>
      <c r="C13" s="3"/>
      <c r="D13" s="11"/>
      <c r="E13" s="3" t="s">
        <v>44</v>
      </c>
    </row>
    <row r="14" spans="1:5">
      <c r="A14" s="16"/>
      <c r="B14" s="6"/>
      <c r="C14" s="3"/>
      <c r="D14" s="11"/>
      <c r="E14" s="3" t="s">
        <v>44</v>
      </c>
    </row>
    <row r="15" spans="1:5">
      <c r="A15" s="9"/>
      <c r="B15" s="6"/>
      <c r="C15" s="3"/>
      <c r="D15" s="11"/>
      <c r="E15" s="3" t="s">
        <v>44</v>
      </c>
    </row>
    <row r="16" spans="1:5">
      <c r="A16" s="16" t="s">
        <v>16</v>
      </c>
      <c r="B16" s="6"/>
      <c r="C16" s="3"/>
      <c r="D16" s="11"/>
      <c r="E16" s="3" t="s">
        <v>44</v>
      </c>
    </row>
    <row r="17" spans="1:5">
      <c r="A17" s="9"/>
      <c r="B17" s="6"/>
      <c r="C17" s="3"/>
      <c r="D17" s="11"/>
      <c r="E17" s="3" t="s">
        <v>44</v>
      </c>
    </row>
    <row r="18" spans="1:5">
      <c r="A18" s="9"/>
      <c r="B18" s="6"/>
      <c r="C18" s="3"/>
      <c r="D18" s="11"/>
      <c r="E18" s="3" t="s">
        <v>44</v>
      </c>
    </row>
    <row r="19" spans="1:5">
      <c r="A19" s="9"/>
      <c r="B19" s="6"/>
      <c r="C19" s="3"/>
      <c r="D19" s="11"/>
      <c r="E19" s="3" t="s">
        <v>44</v>
      </c>
    </row>
    <row r="20" spans="1:5">
      <c r="A20" s="9"/>
      <c r="B20" s="6"/>
      <c r="C20" s="3"/>
      <c r="D20" s="11"/>
      <c r="E20" s="3" t="s">
        <v>44</v>
      </c>
    </row>
    <row r="21" spans="1:5">
      <c r="A21" s="16"/>
      <c r="B21" s="6"/>
      <c r="C21" s="3"/>
      <c r="D21" s="11"/>
      <c r="E21" s="3" t="s">
        <v>44</v>
      </c>
    </row>
    <row r="22" spans="1:5">
      <c r="A22" s="4"/>
      <c r="B22" s="1"/>
      <c r="C22" s="1"/>
      <c r="D22" s="1"/>
      <c r="E22" s="1"/>
    </row>
    <row r="23" spans="1:5" ht="18">
      <c r="A23" s="566" t="s">
        <v>69</v>
      </c>
      <c r="B23" s="567"/>
      <c r="C23" s="567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06" t="s">
        <v>44</v>
      </c>
      <c r="D25" s="11" t="s">
        <v>22</v>
      </c>
      <c r="E25" s="3" t="s">
        <v>44</v>
      </c>
    </row>
    <row r="26" spans="1:5">
      <c r="A26" s="16"/>
      <c r="B26" s="6"/>
      <c r="C26" s="306" t="s">
        <v>44</v>
      </c>
      <c r="D26" s="11" t="s">
        <v>22</v>
      </c>
      <c r="E26" s="3" t="s">
        <v>44</v>
      </c>
    </row>
    <row r="27" spans="1:5">
      <c r="A27" s="16"/>
      <c r="B27" s="6"/>
      <c r="C27" s="306" t="s">
        <v>44</v>
      </c>
      <c r="D27" s="11" t="s">
        <v>22</v>
      </c>
      <c r="E27" s="3" t="s">
        <v>44</v>
      </c>
    </row>
    <row r="28" spans="1:5">
      <c r="A28" s="16"/>
      <c r="B28" s="6"/>
      <c r="C28" s="306" t="s">
        <v>44</v>
      </c>
      <c r="D28" s="11" t="s">
        <v>22</v>
      </c>
      <c r="E28" s="3" t="s">
        <v>44</v>
      </c>
    </row>
    <row r="29" spans="1:5">
      <c r="A29" s="9"/>
      <c r="B29" s="6"/>
      <c r="C29" s="306" t="s">
        <v>44</v>
      </c>
      <c r="D29" s="11" t="s">
        <v>22</v>
      </c>
      <c r="E29" s="3" t="s">
        <v>44</v>
      </c>
    </row>
    <row r="30" spans="1:5">
      <c r="A30" s="16" t="s">
        <v>16</v>
      </c>
      <c r="B30" s="6"/>
      <c r="C30" s="306" t="s">
        <v>44</v>
      </c>
      <c r="D30" s="11" t="s">
        <v>22</v>
      </c>
      <c r="E30" s="3" t="s">
        <v>44</v>
      </c>
    </row>
    <row r="31" spans="1:5">
      <c r="A31" s="9"/>
      <c r="B31" s="6"/>
      <c r="C31" s="306" t="s">
        <v>44</v>
      </c>
      <c r="D31" s="11" t="s">
        <v>22</v>
      </c>
      <c r="E31" s="3" t="s">
        <v>44</v>
      </c>
    </row>
    <row r="32" spans="1:5">
      <c r="A32" s="9"/>
      <c r="B32" s="6"/>
      <c r="C32" s="306" t="s">
        <v>44</v>
      </c>
      <c r="D32" s="11" t="s">
        <v>22</v>
      </c>
      <c r="E32" s="3" t="s">
        <v>44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10" workbookViewId="0">
      <selection activeCell="A2" sqref="A2:E2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64" t="str">
        <f>Setup!$B$3 &amp; ", " &amp; Setup!$B$4 &amp; ", " &amp; Setup!$B$6  &amp; " (" &amp; Setup!$B$7 &amp; ")"</f>
        <v>Ζ΄ ΕΝΩΣΗ, 3ο Ε3 2014, Γ.Σ. ΛΙΒΥΚΟΣ ΙΕΡΑΠΕΤΡΑΣ (Κ14)</v>
      </c>
      <c r="B1" s="564"/>
      <c r="C1" s="564"/>
      <c r="D1" s="564"/>
      <c r="E1" s="564"/>
    </row>
    <row r="2" spans="1:5">
      <c r="A2" s="565" t="str">
        <f>Setup!$B$10</f>
        <v>Μαρίνα Μουτσάκη</v>
      </c>
      <c r="B2" s="565"/>
      <c r="C2" s="565"/>
      <c r="D2" s="565"/>
      <c r="E2" s="565"/>
    </row>
    <row r="4" spans="1:5" ht="18">
      <c r="A4" s="566" t="s">
        <v>67</v>
      </c>
      <c r="B4" s="567"/>
      <c r="C4" s="567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/>
    </row>
    <row r="7" spans="1:5">
      <c r="A7" s="16"/>
      <c r="B7" s="6"/>
      <c r="C7" s="3"/>
      <c r="D7" s="11"/>
      <c r="E7" s="3"/>
    </row>
    <row r="8" spans="1:5">
      <c r="A8" s="16"/>
      <c r="B8" s="6"/>
      <c r="C8" s="3"/>
      <c r="D8" s="11"/>
      <c r="E8" s="3"/>
    </row>
    <row r="9" spans="1:5">
      <c r="A9" s="16"/>
      <c r="B9" s="6"/>
      <c r="C9" s="3"/>
      <c r="D9" s="11"/>
      <c r="E9" s="3"/>
    </row>
    <row r="10" spans="1:5">
      <c r="A10" s="9"/>
      <c r="B10" s="6"/>
      <c r="C10" s="3"/>
      <c r="D10" s="11"/>
      <c r="E10" s="3"/>
    </row>
    <row r="11" spans="1:5">
      <c r="A11" s="16" t="s">
        <v>16</v>
      </c>
      <c r="B11" s="6"/>
      <c r="C11" s="3"/>
      <c r="D11" s="11"/>
      <c r="E11" s="3"/>
    </row>
    <row r="12" spans="1:5">
      <c r="A12" s="9"/>
      <c r="B12" s="6"/>
      <c r="C12" s="3"/>
      <c r="D12" s="11"/>
      <c r="E12" s="3"/>
    </row>
    <row r="13" spans="1:5">
      <c r="A13" s="9"/>
      <c r="B13" s="6"/>
      <c r="C13" s="3"/>
      <c r="D13" s="11"/>
      <c r="E13" s="3"/>
    </row>
    <row r="14" spans="1:5">
      <c r="A14" s="16"/>
      <c r="B14" s="6"/>
      <c r="C14" s="3"/>
      <c r="D14" s="11"/>
      <c r="E14" s="3"/>
    </row>
    <row r="15" spans="1:5">
      <c r="A15" s="9"/>
      <c r="B15" s="6"/>
      <c r="C15" s="3"/>
      <c r="D15" s="11"/>
      <c r="E15" s="3"/>
    </row>
    <row r="16" spans="1:5">
      <c r="A16" s="16" t="s">
        <v>16</v>
      </c>
      <c r="B16" s="6"/>
      <c r="C16" s="3"/>
      <c r="D16" s="11"/>
      <c r="E16" s="3"/>
    </row>
    <row r="17" spans="1:5">
      <c r="A17" s="9"/>
      <c r="B17" s="6"/>
      <c r="C17" s="3"/>
      <c r="D17" s="11"/>
      <c r="E17" s="3"/>
    </row>
    <row r="18" spans="1:5">
      <c r="A18" s="9"/>
      <c r="B18" s="6"/>
      <c r="C18" s="3"/>
      <c r="D18" s="11"/>
      <c r="E18" s="3"/>
    </row>
    <row r="19" spans="1:5">
      <c r="A19" s="9"/>
      <c r="B19" s="6"/>
      <c r="C19" s="3"/>
      <c r="D19" s="11"/>
      <c r="E19" s="3"/>
    </row>
    <row r="20" spans="1:5">
      <c r="A20" s="9"/>
      <c r="B20" s="6"/>
      <c r="C20" s="3"/>
      <c r="D20" s="11"/>
      <c r="E20" s="3"/>
    </row>
    <row r="21" spans="1:5">
      <c r="A21" s="16"/>
      <c r="B21" s="6"/>
      <c r="C21" s="3"/>
      <c r="D21" s="11"/>
      <c r="E21" s="3"/>
    </row>
    <row r="22" spans="1:5">
      <c r="A22" s="4"/>
      <c r="B22" s="1"/>
      <c r="C22" s="1"/>
      <c r="D22" s="1"/>
      <c r="E22" s="1"/>
    </row>
    <row r="23" spans="1:5" ht="18">
      <c r="A23" s="566" t="s">
        <v>67</v>
      </c>
      <c r="B23" s="567"/>
      <c r="C23" s="567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"/>
      <c r="D25" s="11"/>
      <c r="E25" s="3"/>
    </row>
    <row r="26" spans="1:5">
      <c r="A26" s="16"/>
      <c r="B26" s="6"/>
      <c r="C26" s="3"/>
      <c r="D26" s="11"/>
      <c r="E26" s="3"/>
    </row>
    <row r="27" spans="1:5">
      <c r="A27" s="16"/>
      <c r="B27" s="6"/>
      <c r="C27" s="3"/>
      <c r="D27" s="11"/>
      <c r="E27" s="3"/>
    </row>
    <row r="28" spans="1:5">
      <c r="A28" s="16"/>
      <c r="B28" s="6"/>
      <c r="C28" s="3"/>
      <c r="D28" s="11"/>
      <c r="E28" s="3"/>
    </row>
    <row r="29" spans="1:5">
      <c r="A29" s="9"/>
      <c r="B29" s="6"/>
      <c r="C29" s="3"/>
      <c r="D29" s="11"/>
      <c r="E29" s="3"/>
    </row>
    <row r="30" spans="1:5">
      <c r="A30" s="16" t="s">
        <v>16</v>
      </c>
      <c r="B30" s="6"/>
      <c r="C30" s="3"/>
      <c r="D30" s="11"/>
      <c r="E30" s="3"/>
    </row>
    <row r="31" spans="1:5">
      <c r="A31" s="9"/>
      <c r="B31" s="6"/>
      <c r="C31" s="3"/>
      <c r="D31" s="11"/>
      <c r="E31" s="3"/>
    </row>
    <row r="32" spans="1:5">
      <c r="A32" s="9"/>
      <c r="B32" s="6"/>
      <c r="C32" s="3"/>
      <c r="D32" s="11"/>
      <c r="E32" s="3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</vt:i4>
      </vt:variant>
    </vt:vector>
  </HeadingPairs>
  <TitlesOfParts>
    <vt:vector size="13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CalcPrg</vt:lpstr>
      <vt:lpstr>tmp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2014-09-27T09:37:58Z</cp:lastPrinted>
  <dcterms:created xsi:type="dcterms:W3CDTF">2011-03-03T12:31:09Z</dcterms:created>
  <dcterms:modified xsi:type="dcterms:W3CDTF">2014-09-30T11:27:58Z</dcterms:modified>
</cp:coreProperties>
</file>