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7FF41506-D638-49D5-72EF-22EC70B826F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4o E3\"/>
    </mc:Choice>
  </mc:AlternateContent>
  <workbookProtection workbookPassword="CF33" lockStructure="1"/>
  <bookViews>
    <workbookView xWindow="0" yWindow="0" windowWidth="19200" windowHeight="11370" activeTab="2"/>
  </bookViews>
  <sheets>
    <sheet name="Setup" sheetId="1" r:id="rId1"/>
    <sheet name="DrawPrep" sheetId="2" r:id="rId2"/>
    <sheet name="MD" sheetId="12" r:id="rId3"/>
    <sheet name="Day1" sheetId="7" r:id="rId4"/>
    <sheet name="Day2" sheetId="10" r:id="rId5"/>
    <sheet name="notes" sheetId="8" r:id="rId6"/>
    <sheet name="PrgPrep" sheetId="6" r:id="rId7"/>
    <sheet name="tables" sheetId="4" r:id="rId8"/>
    <sheet name="matches" sheetId="13" r:id="rId9"/>
  </sheets>
  <functionGroups builtInGroupCount="18"/>
  <definedNames>
    <definedName name="Categories">tables!$P$2:$P$16</definedName>
    <definedName name="Grades">tables!$O$2:$O$7</definedName>
    <definedName name="_xlnm.Print_Area" localSheetId="2">MD!$A$1:$X$47</definedName>
  </definedNames>
  <calcPr calcId="162913" iterate="1"/>
</workbook>
</file>

<file path=xl/calcChain.xml><?xml version="1.0" encoding="utf-8"?>
<calcChain xmlns="http://schemas.openxmlformats.org/spreadsheetml/2006/main">
  <c r="L7" i="13" l="1"/>
  <c r="A27" i="1"/>
  <c r="A26" i="1"/>
  <c r="L39" i="12" l="1"/>
  <c r="L40" i="12"/>
  <c r="L41" i="12"/>
  <c r="L42" i="12"/>
  <c r="L4" i="13" l="1"/>
  <c r="L2" i="13" l="1"/>
  <c r="L3" i="13"/>
  <c r="L5" i="13"/>
  <c r="L6" i="13"/>
  <c r="F32" i="13" l="1"/>
  <c r="F31" i="13"/>
  <c r="F30" i="13"/>
  <c r="F29" i="13"/>
  <c r="F28" i="13"/>
  <c r="F27" i="13"/>
  <c r="F26" i="13"/>
  <c r="F25" i="13"/>
  <c r="F24" i="13"/>
  <c r="F23" i="13"/>
  <c r="F22" i="13"/>
  <c r="F17" i="13"/>
  <c r="F16" i="13"/>
  <c r="F15" i="13"/>
  <c r="F14" i="13"/>
  <c r="F13" i="13"/>
  <c r="F12" i="13"/>
  <c r="F11" i="13"/>
  <c r="F10" i="13"/>
  <c r="F21" i="13"/>
  <c r="F20" i="13"/>
  <c r="F19" i="13"/>
  <c r="F18" i="13"/>
  <c r="F9" i="13"/>
  <c r="F8" i="13"/>
  <c r="F7" i="13"/>
  <c r="F6" i="13"/>
  <c r="F5" i="13"/>
  <c r="F4" i="13"/>
  <c r="F3" i="13"/>
  <c r="F2" i="13"/>
  <c r="B5" i="4" l="1"/>
  <c r="B4" i="4"/>
  <c r="A1" i="6" l="1"/>
  <c r="A2" i="6" l="1"/>
  <c r="B18" i="1" l="1"/>
  <c r="B17" i="1"/>
  <c r="A29" i="1"/>
  <c r="B7" i="4" l="1"/>
  <c r="B6" i="4"/>
  <c r="I28" i="2" l="1"/>
  <c r="I3" i="2"/>
  <c r="I11" i="2"/>
  <c r="I26" i="2"/>
  <c r="I21" i="2"/>
  <c r="I20" i="2"/>
  <c r="I4" i="2"/>
  <c r="I9" i="2"/>
  <c r="I24" i="2"/>
  <c r="I14" i="2"/>
  <c r="I13" i="2"/>
  <c r="I34" i="2"/>
  <c r="I12" i="2"/>
  <c r="I30" i="2"/>
  <c r="I31" i="2"/>
  <c r="I10" i="2"/>
  <c r="I5" i="2"/>
  <c r="I16" i="2"/>
  <c r="I27" i="2"/>
  <c r="I7" i="2"/>
  <c r="I29" i="2"/>
  <c r="I6" i="2"/>
  <c r="I18" i="2"/>
  <c r="I25" i="2"/>
  <c r="I23" i="2"/>
  <c r="I8" i="2"/>
  <c r="I17" i="2"/>
  <c r="I19" i="2"/>
  <c r="I22" i="2"/>
  <c r="I32" i="2"/>
  <c r="I33" i="2"/>
  <c r="I15" i="2"/>
  <c r="B3" i="4" l="1"/>
  <c r="B2" i="4"/>
  <c r="J66" i="12" l="1"/>
  <c r="J65" i="12"/>
  <c r="J64" i="12"/>
  <c r="J63" i="12"/>
  <c r="J62" i="12"/>
  <c r="J61" i="12"/>
  <c r="J60" i="12"/>
  <c r="J59" i="12"/>
  <c r="J42" i="12"/>
  <c r="U41" i="12"/>
  <c r="J41" i="12"/>
  <c r="J40" i="12"/>
  <c r="J39" i="12"/>
  <c r="G36" i="12"/>
  <c r="C35" i="12"/>
  <c r="C6" i="12"/>
  <c r="G5" i="12"/>
  <c r="B2" i="12"/>
  <c r="X1" i="12"/>
  <c r="A1" i="12"/>
  <c r="F5" i="12" l="1"/>
  <c r="I5" i="12"/>
  <c r="B2" i="13" s="1"/>
  <c r="C2" i="13" s="1"/>
  <c r="F36" i="12"/>
  <c r="I36" i="12"/>
  <c r="H5" i="12"/>
  <c r="H36" i="12"/>
  <c r="E35" i="12"/>
  <c r="E34" i="12"/>
  <c r="E32" i="12"/>
  <c r="E26" i="12"/>
  <c r="E24" i="12"/>
  <c r="E18" i="12"/>
  <c r="E16" i="12"/>
  <c r="E10" i="12"/>
  <c r="E6" i="12"/>
  <c r="D6" i="12" s="1"/>
  <c r="E8" i="12"/>
  <c r="N5" i="12" l="1"/>
  <c r="J36" i="12"/>
  <c r="K36" i="12" s="1"/>
  <c r="J5" i="12"/>
  <c r="C24" i="6" s="1"/>
  <c r="L36" i="12"/>
  <c r="L5" i="12"/>
  <c r="D7" i="12"/>
  <c r="B6" i="12"/>
  <c r="G6" i="12" s="1"/>
  <c r="I6" i="12" s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K5" i="12" l="1"/>
  <c r="O5" i="12" s="1"/>
  <c r="D2" i="13"/>
  <c r="E20" i="6"/>
  <c r="C5" i="6"/>
  <c r="H6" i="12"/>
  <c r="J6" i="12"/>
  <c r="F6" i="12"/>
  <c r="D8" i="12"/>
  <c r="B7" i="12"/>
  <c r="G7" i="12" s="1"/>
  <c r="I7" i="12" s="1"/>
  <c r="H38" i="2"/>
  <c r="A1" i="2"/>
  <c r="H1" i="2"/>
  <c r="H18" i="13" l="1"/>
  <c r="E2" i="13"/>
  <c r="K6" i="12"/>
  <c r="L6" i="12"/>
  <c r="E5" i="6" s="1"/>
  <c r="H7" i="12"/>
  <c r="L7" i="12"/>
  <c r="F7" i="12"/>
  <c r="D9" i="12"/>
  <c r="B8" i="12"/>
  <c r="G8" i="12" s="1"/>
  <c r="I8" i="12" s="1"/>
  <c r="B3" i="13" s="1"/>
  <c r="C3" i="13" s="1"/>
  <c r="N7" i="12" l="1"/>
  <c r="D3" i="13"/>
  <c r="B18" i="13"/>
  <c r="C18" i="13" s="1"/>
  <c r="D18" i="13"/>
  <c r="Q6" i="12"/>
  <c r="B26" i="13" s="1"/>
  <c r="C26" i="13" s="1"/>
  <c r="H8" i="12"/>
  <c r="L8" i="12"/>
  <c r="F8" i="12"/>
  <c r="D10" i="12"/>
  <c r="B9" i="12"/>
  <c r="G9" i="12" s="1"/>
  <c r="I9" i="12" s="1"/>
  <c r="B4" i="13" s="1"/>
  <c r="C4" i="13" s="1"/>
  <c r="J7" i="12"/>
  <c r="H10" i="13" l="1"/>
  <c r="E18" i="13"/>
  <c r="H19" i="13"/>
  <c r="E3" i="13"/>
  <c r="N9" i="12"/>
  <c r="T8" i="12"/>
  <c r="K7" i="12"/>
  <c r="E24" i="6"/>
  <c r="H9" i="12"/>
  <c r="L9" i="12"/>
  <c r="C6" i="6"/>
  <c r="F9" i="12"/>
  <c r="B10" i="12"/>
  <c r="G10" i="12" s="1"/>
  <c r="I10" i="12" s="1"/>
  <c r="J8" i="12"/>
  <c r="K8" i="12" s="1"/>
  <c r="O7" i="12" l="1"/>
  <c r="D4" i="13"/>
  <c r="R6" i="12"/>
  <c r="H10" i="12"/>
  <c r="L10" i="12"/>
  <c r="E6" i="6"/>
  <c r="D6" i="6" s="1"/>
  <c r="F10" i="12"/>
  <c r="J9" i="12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i="1" s="1"/>
  <c r="B31" i="6"/>
  <c r="B30" i="6"/>
  <c r="B29" i="6"/>
  <c r="B28" i="6"/>
  <c r="B27" i="6"/>
  <c r="B26" i="6"/>
  <c r="B25" i="6"/>
  <c r="B24" i="6"/>
  <c r="B2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D5" i="6"/>
  <c r="D24" i="6"/>
  <c r="H20" i="13" l="1"/>
  <c r="E4" i="13"/>
  <c r="K9" i="12"/>
  <c r="O9" i="12" s="1"/>
  <c r="C25" i="6"/>
  <c r="U8" i="12"/>
  <c r="I2" i="1"/>
  <c r="H2" i="1" s="1"/>
  <c r="J4" i="1"/>
  <c r="I4" i="1" s="1"/>
  <c r="I3" i="1"/>
  <c r="C7" i="6"/>
  <c r="C30" i="12"/>
  <c r="E30" i="12" s="1"/>
  <c r="G29" i="12"/>
  <c r="I29" i="12" s="1"/>
  <c r="B14" i="13" s="1"/>
  <c r="C14" i="13" s="1"/>
  <c r="C22" i="12"/>
  <c r="E22" i="12" s="1"/>
  <c r="G21" i="12"/>
  <c r="I21" i="12" s="1"/>
  <c r="B10" i="13" s="1"/>
  <c r="C10" i="13" s="1"/>
  <c r="G20" i="12"/>
  <c r="I20" i="12" s="1"/>
  <c r="C19" i="12"/>
  <c r="G12" i="12"/>
  <c r="I12" i="12" s="1"/>
  <c r="C11" i="12"/>
  <c r="G28" i="12"/>
  <c r="I28" i="12" s="1"/>
  <c r="C27" i="12"/>
  <c r="C14" i="12"/>
  <c r="G13" i="12"/>
  <c r="I13" i="12" s="1"/>
  <c r="B6" i="13" s="1"/>
  <c r="C6" i="13" s="1"/>
  <c r="J10" i="12"/>
  <c r="K10" i="12" s="1"/>
  <c r="N13" i="12" l="1"/>
  <c r="N21" i="12"/>
  <c r="N29" i="12"/>
  <c r="H3" i="1"/>
  <c r="H4" i="1" s="1"/>
  <c r="J5" i="1"/>
  <c r="I5" i="1" s="1"/>
  <c r="E7" i="6"/>
  <c r="D7" i="6" s="1"/>
  <c r="E11" i="12"/>
  <c r="D11" i="12" s="1"/>
  <c r="H12" i="12"/>
  <c r="F12" i="12"/>
  <c r="E19" i="12"/>
  <c r="H20" i="12"/>
  <c r="F20" i="12"/>
  <c r="H21" i="12"/>
  <c r="F21" i="12"/>
  <c r="H29" i="12"/>
  <c r="F29" i="12"/>
  <c r="H13" i="12"/>
  <c r="F13" i="12"/>
  <c r="E14" i="12"/>
  <c r="E27" i="12"/>
  <c r="H28" i="12"/>
  <c r="F28" i="12"/>
  <c r="H5" i="1" l="1"/>
  <c r="J6" i="1"/>
  <c r="J7" i="1" s="1"/>
  <c r="L29" i="12"/>
  <c r="J29" i="12"/>
  <c r="L21" i="12"/>
  <c r="J21" i="12"/>
  <c r="L20" i="12"/>
  <c r="J20" i="12"/>
  <c r="K20" i="12" s="1"/>
  <c r="L12" i="12"/>
  <c r="J12" i="12"/>
  <c r="K12" i="12" s="1"/>
  <c r="D12" i="12"/>
  <c r="D13" i="12" s="1"/>
  <c r="D14" i="12" s="1"/>
  <c r="B11" i="12"/>
  <c r="G11" i="12" s="1"/>
  <c r="I11" i="12" s="1"/>
  <c r="L28" i="12"/>
  <c r="J28" i="12"/>
  <c r="K28" i="12" s="1"/>
  <c r="L13" i="12"/>
  <c r="J13" i="12"/>
  <c r="B5" i="13" l="1"/>
  <c r="C5" i="13" s="1"/>
  <c r="D5" i="13"/>
  <c r="N11" i="12"/>
  <c r="K29" i="12"/>
  <c r="O29" i="12" s="1"/>
  <c r="C30" i="6"/>
  <c r="K21" i="12"/>
  <c r="O21" i="12" s="1"/>
  <c r="C28" i="6"/>
  <c r="K13" i="12"/>
  <c r="O13" i="12" s="1"/>
  <c r="C26" i="6"/>
  <c r="I6" i="1"/>
  <c r="H6" i="1" s="1"/>
  <c r="J8" i="1"/>
  <c r="I7" i="1"/>
  <c r="E8" i="6"/>
  <c r="E12" i="6"/>
  <c r="C13" i="6"/>
  <c r="C17" i="6"/>
  <c r="C9" i="6"/>
  <c r="E16" i="6"/>
  <c r="D15" i="12"/>
  <c r="B15" i="12" s="1"/>
  <c r="G15" i="12" s="1"/>
  <c r="I15" i="12" s="1"/>
  <c r="B7" i="13" s="1"/>
  <c r="C7" i="13" s="1"/>
  <c r="B14" i="12"/>
  <c r="G14" i="12" s="1"/>
  <c r="I14" i="12" s="1"/>
  <c r="H11" i="12"/>
  <c r="F11" i="12"/>
  <c r="D16" i="12"/>
  <c r="H21" i="13" l="1"/>
  <c r="E5" i="13"/>
  <c r="D6" i="13"/>
  <c r="B19" i="13"/>
  <c r="C19" i="13" s="1"/>
  <c r="D19" i="13"/>
  <c r="N15" i="12"/>
  <c r="Q10" i="12"/>
  <c r="H7" i="1"/>
  <c r="I8" i="1"/>
  <c r="J9" i="1"/>
  <c r="H14" i="12"/>
  <c r="F14" i="12"/>
  <c r="L11" i="12"/>
  <c r="J11" i="12"/>
  <c r="H15" i="12"/>
  <c r="F15" i="12"/>
  <c r="D17" i="12"/>
  <c r="B16" i="12"/>
  <c r="G16" i="12" s="1"/>
  <c r="I16" i="12" s="1"/>
  <c r="H11" i="13" l="1"/>
  <c r="E19" i="13"/>
  <c r="H22" i="13"/>
  <c r="E6" i="13"/>
  <c r="D7" i="13"/>
  <c r="B20" i="13"/>
  <c r="C20" i="13" s="1"/>
  <c r="D20" i="13"/>
  <c r="D26" i="13"/>
  <c r="Q14" i="12"/>
  <c r="B27" i="13" s="1"/>
  <c r="C27" i="13" s="1"/>
  <c r="K11" i="12"/>
  <c r="O11" i="12" s="1"/>
  <c r="E25" i="6"/>
  <c r="D25" i="6" s="1"/>
  <c r="H8" i="1"/>
  <c r="J10" i="1"/>
  <c r="I9" i="1"/>
  <c r="L14" i="12"/>
  <c r="J14" i="12"/>
  <c r="C8" i="6"/>
  <c r="D8" i="6" s="1"/>
  <c r="H16" i="12"/>
  <c r="F16" i="12"/>
  <c r="D18" i="12"/>
  <c r="B17" i="12"/>
  <c r="G17" i="12" s="1"/>
  <c r="I17" i="12" s="1"/>
  <c r="B8" i="13" s="1"/>
  <c r="C8" i="13" s="1"/>
  <c r="L15" i="12"/>
  <c r="J15" i="12"/>
  <c r="H6" i="13" l="1"/>
  <c r="E26" i="13"/>
  <c r="H12" i="13"/>
  <c r="E20" i="13"/>
  <c r="H23" i="13"/>
  <c r="E7" i="13"/>
  <c r="H9" i="1"/>
  <c r="T16" i="12"/>
  <c r="N17" i="12"/>
  <c r="K15" i="12"/>
  <c r="O15" i="12" s="1"/>
  <c r="E26" i="6"/>
  <c r="D26" i="6" s="1"/>
  <c r="R10" i="12"/>
  <c r="J11" i="1"/>
  <c r="I10" i="1"/>
  <c r="E9" i="6"/>
  <c r="D9" i="6" s="1"/>
  <c r="K14" i="12"/>
  <c r="C10" i="6"/>
  <c r="H17" i="12"/>
  <c r="F17" i="12"/>
  <c r="D19" i="12"/>
  <c r="B18" i="12"/>
  <c r="G18" i="12" s="1"/>
  <c r="I18" i="12" s="1"/>
  <c r="L16" i="12"/>
  <c r="J16" i="12"/>
  <c r="K16" i="12" s="1"/>
  <c r="H10" i="1" l="1"/>
  <c r="D8" i="13"/>
  <c r="B30" i="13"/>
  <c r="C30" i="13" s="1"/>
  <c r="D30" i="13"/>
  <c r="W12" i="12"/>
  <c r="B32" i="13" s="1"/>
  <c r="C32" i="13" s="1"/>
  <c r="R14" i="12"/>
  <c r="I11" i="1"/>
  <c r="H11" i="1" s="1"/>
  <c r="J12" i="1"/>
  <c r="E10" i="6"/>
  <c r="D10" i="6" s="1"/>
  <c r="H18" i="12"/>
  <c r="F18" i="12"/>
  <c r="D20" i="12"/>
  <c r="D21" i="12" s="1"/>
  <c r="D22" i="12" s="1"/>
  <c r="B19" i="12"/>
  <c r="G19" i="12" s="1"/>
  <c r="I19" i="12" s="1"/>
  <c r="L17" i="12"/>
  <c r="J17" i="12"/>
  <c r="B9" i="13" l="1"/>
  <c r="C9" i="13" s="1"/>
  <c r="D9" i="13"/>
  <c r="H4" i="13"/>
  <c r="E30" i="13"/>
  <c r="H24" i="13"/>
  <c r="E8" i="13"/>
  <c r="N19" i="12"/>
  <c r="H2" i="13"/>
  <c r="W20" i="12"/>
  <c r="K17" i="12"/>
  <c r="O17" i="12" s="1"/>
  <c r="C27" i="6"/>
  <c r="U16" i="12"/>
  <c r="I12" i="1"/>
  <c r="H12" i="1" s="1"/>
  <c r="J13" i="1"/>
  <c r="C11" i="6"/>
  <c r="H19" i="12"/>
  <c r="F19" i="12"/>
  <c r="D23" i="12"/>
  <c r="B22" i="12"/>
  <c r="G22" i="12" s="1"/>
  <c r="I22" i="12" s="1"/>
  <c r="L18" i="12"/>
  <c r="J18" i="12"/>
  <c r="K18" i="12" s="1"/>
  <c r="H25" i="13" l="1"/>
  <c r="E9" i="13"/>
  <c r="D10" i="13"/>
  <c r="B21" i="13"/>
  <c r="C21" i="13" s="1"/>
  <c r="D21" i="13"/>
  <c r="Q18" i="12"/>
  <c r="X12" i="12"/>
  <c r="J14" i="1"/>
  <c r="I13" i="1"/>
  <c r="H13" i="1" s="1"/>
  <c r="E11" i="6"/>
  <c r="D11" i="6" s="1"/>
  <c r="L19" i="12"/>
  <c r="J19" i="12"/>
  <c r="H22" i="12"/>
  <c r="F22" i="12"/>
  <c r="D24" i="12"/>
  <c r="B23" i="12"/>
  <c r="G23" i="12" s="1"/>
  <c r="I23" i="12" s="1"/>
  <c r="B11" i="13" s="1"/>
  <c r="C11" i="13" s="1"/>
  <c r="H13" i="13" l="1"/>
  <c r="E21" i="13"/>
  <c r="H26" i="13"/>
  <c r="E10" i="13"/>
  <c r="D27" i="13"/>
  <c r="N23" i="12"/>
  <c r="K19" i="12"/>
  <c r="O19" i="12" s="1"/>
  <c r="E27" i="6"/>
  <c r="D27" i="6" s="1"/>
  <c r="I14" i="1"/>
  <c r="H14" i="1" s="1"/>
  <c r="J15" i="1"/>
  <c r="C12" i="6"/>
  <c r="D12" i="6" s="1"/>
  <c r="H23" i="12"/>
  <c r="F23" i="12"/>
  <c r="D25" i="12"/>
  <c r="B24" i="12"/>
  <c r="G24" i="12" s="1"/>
  <c r="I24" i="12" s="1"/>
  <c r="L22" i="12"/>
  <c r="J22" i="12"/>
  <c r="K22" i="12" s="1"/>
  <c r="H7" i="13" l="1"/>
  <c r="E27" i="13"/>
  <c r="D11" i="13"/>
  <c r="B22" i="13"/>
  <c r="C22" i="13" s="1"/>
  <c r="D22" i="13"/>
  <c r="Q22" i="12"/>
  <c r="R18" i="12"/>
  <c r="J16" i="1"/>
  <c r="I15" i="1"/>
  <c r="H15" i="1" s="1"/>
  <c r="E13" i="6"/>
  <c r="D13" i="6" s="1"/>
  <c r="H24" i="12"/>
  <c r="F24" i="12"/>
  <c r="D26" i="12"/>
  <c r="B25" i="12"/>
  <c r="G25" i="12" s="1"/>
  <c r="I25" i="12" s="1"/>
  <c r="B12" i="13" s="1"/>
  <c r="C12" i="13" s="1"/>
  <c r="L23" i="12"/>
  <c r="J23" i="12"/>
  <c r="H14" i="13" l="1"/>
  <c r="E22" i="13"/>
  <c r="H27" i="13"/>
  <c r="E11" i="13"/>
  <c r="N25" i="12"/>
  <c r="K23" i="12"/>
  <c r="O23" i="12" s="1"/>
  <c r="E28" i="6"/>
  <c r="D28" i="6" s="1"/>
  <c r="I16" i="1"/>
  <c r="H16" i="1" s="1"/>
  <c r="J17" i="1"/>
  <c r="C14" i="6"/>
  <c r="H25" i="12"/>
  <c r="F25" i="12"/>
  <c r="D27" i="12"/>
  <c r="B26" i="12"/>
  <c r="G26" i="12" s="1"/>
  <c r="I26" i="12" s="1"/>
  <c r="L24" i="12"/>
  <c r="J24" i="12"/>
  <c r="K24" i="12" s="1"/>
  <c r="D12" i="13" l="1"/>
  <c r="R22" i="12"/>
  <c r="J18" i="1"/>
  <c r="I17" i="1"/>
  <c r="H17" i="1" s="1"/>
  <c r="E14" i="6"/>
  <c r="D14" i="6" s="1"/>
  <c r="H26" i="12"/>
  <c r="F26" i="12"/>
  <c r="D28" i="12"/>
  <c r="D29" i="12" s="1"/>
  <c r="D30" i="12" s="1"/>
  <c r="B27" i="12"/>
  <c r="G27" i="12" s="1"/>
  <c r="I27" i="12" s="1"/>
  <c r="L25" i="12"/>
  <c r="J25" i="12"/>
  <c r="B13" i="13" l="1"/>
  <c r="C13" i="13" s="1"/>
  <c r="D13" i="13"/>
  <c r="H28" i="13"/>
  <c r="E12" i="13"/>
  <c r="N27" i="12"/>
  <c r="K25" i="12"/>
  <c r="O25" i="12" s="1"/>
  <c r="C29" i="6"/>
  <c r="I18" i="1"/>
  <c r="H18" i="1" s="1"/>
  <c r="J19" i="1"/>
  <c r="H27" i="12"/>
  <c r="F27" i="12"/>
  <c r="C15" i="6"/>
  <c r="D31" i="12"/>
  <c r="B30" i="12"/>
  <c r="G30" i="12" s="1"/>
  <c r="I30" i="12" s="1"/>
  <c r="L26" i="12"/>
  <c r="J26" i="12"/>
  <c r="K26" i="12" s="1"/>
  <c r="H29" i="13" l="1"/>
  <c r="E13" i="13"/>
  <c r="D14" i="13"/>
  <c r="B23" i="13"/>
  <c r="C23" i="13" s="1"/>
  <c r="D23" i="13"/>
  <c r="Q26" i="12"/>
  <c r="I19" i="1"/>
  <c r="H19" i="1" s="1"/>
  <c r="J20" i="1"/>
  <c r="L27" i="12"/>
  <c r="J27" i="12"/>
  <c r="E15" i="6"/>
  <c r="D15" i="6" s="1"/>
  <c r="H30" i="12"/>
  <c r="F30" i="12"/>
  <c r="D32" i="12"/>
  <c r="B31" i="12"/>
  <c r="G31" i="12" s="1"/>
  <c r="I31" i="12" s="1"/>
  <c r="B15" i="13" s="1"/>
  <c r="C15" i="13" s="1"/>
  <c r="B28" i="13" l="1"/>
  <c r="C28" i="13" s="1"/>
  <c r="T24" i="12"/>
  <c r="H30" i="13"/>
  <c r="E14" i="13"/>
  <c r="H15" i="13"/>
  <c r="E23" i="13"/>
  <c r="D28" i="13"/>
  <c r="N31" i="12"/>
  <c r="E29" i="6"/>
  <c r="D29" i="6" s="1"/>
  <c r="I20" i="1"/>
  <c r="H20" i="1" s="1"/>
  <c r="J21" i="1"/>
  <c r="C16" i="6"/>
  <c r="D16" i="6" s="1"/>
  <c r="K27" i="12"/>
  <c r="O27" i="12" s="1"/>
  <c r="H31" i="12"/>
  <c r="F31" i="12"/>
  <c r="D33" i="12"/>
  <c r="B32" i="12"/>
  <c r="G32" i="12" s="1"/>
  <c r="I32" i="12" s="1"/>
  <c r="L30" i="12"/>
  <c r="J30" i="12"/>
  <c r="K30" i="12" s="1"/>
  <c r="H8" i="13" l="1"/>
  <c r="E28" i="13"/>
  <c r="D15" i="13"/>
  <c r="B24" i="13"/>
  <c r="C24" i="13" s="1"/>
  <c r="D24" i="13"/>
  <c r="Q30" i="12"/>
  <c r="R26" i="12"/>
  <c r="U24" i="12" s="1"/>
  <c r="J22" i="1"/>
  <c r="I21" i="1"/>
  <c r="H21" i="1" s="1"/>
  <c r="E17" i="6"/>
  <c r="D17" i="6" s="1"/>
  <c r="H32" i="12"/>
  <c r="F32" i="12"/>
  <c r="D34" i="12"/>
  <c r="B33" i="12"/>
  <c r="G33" i="12" s="1"/>
  <c r="I33" i="12" s="1"/>
  <c r="L31" i="12"/>
  <c r="J31" i="12"/>
  <c r="H31" i="13" l="1"/>
  <c r="E15" i="13"/>
  <c r="H16" i="13"/>
  <c r="E24" i="13"/>
  <c r="K31" i="12"/>
  <c r="O31" i="12" s="1"/>
  <c r="E30" i="6"/>
  <c r="D30" i="6" s="1"/>
  <c r="I22" i="1"/>
  <c r="H22" i="1" s="1"/>
  <c r="J23" i="1"/>
  <c r="C18" i="6"/>
  <c r="H33" i="12"/>
  <c r="F33" i="12"/>
  <c r="D35" i="12"/>
  <c r="B34" i="12"/>
  <c r="G34" i="12" s="1"/>
  <c r="I34" i="12" s="1"/>
  <c r="B16" i="13" s="1"/>
  <c r="C16" i="13" s="1"/>
  <c r="L32" i="12"/>
  <c r="J32" i="12"/>
  <c r="K32" i="12" s="1"/>
  <c r="N33" i="12" l="1"/>
  <c r="D16" i="13"/>
  <c r="D31" i="13"/>
  <c r="R30" i="12"/>
  <c r="I23" i="1"/>
  <c r="H23" i="1" s="1"/>
  <c r="J24" i="1"/>
  <c r="E18" i="6"/>
  <c r="D18" i="6" s="1"/>
  <c r="H34" i="12"/>
  <c r="F34" i="12"/>
  <c r="D36" i="12"/>
  <c r="B35" i="12"/>
  <c r="G35" i="12" s="1"/>
  <c r="I35" i="12" s="1"/>
  <c r="L33" i="12"/>
  <c r="J33" i="12"/>
  <c r="B17" i="13" l="1"/>
  <c r="C17" i="13" s="1"/>
  <c r="D17" i="13"/>
  <c r="H5" i="13"/>
  <c r="E31" i="13"/>
  <c r="H32" i="13"/>
  <c r="E16" i="13"/>
  <c r="N35" i="12"/>
  <c r="K33" i="12"/>
  <c r="J25" i="1"/>
  <c r="I24" i="1"/>
  <c r="H24" i="1" s="1"/>
  <c r="H35" i="12"/>
  <c r="F35" i="12"/>
  <c r="C19" i="6"/>
  <c r="L34" i="12"/>
  <c r="J34" i="12"/>
  <c r="K34" i="12" s="1"/>
  <c r="C31" i="6" l="1"/>
  <c r="H33" i="13"/>
  <c r="E17" i="13"/>
  <c r="O33" i="12"/>
  <c r="B25" i="13"/>
  <c r="C25" i="13" s="1"/>
  <c r="D25" i="13"/>
  <c r="Q34" i="12"/>
  <c r="J26" i="1"/>
  <c r="I25" i="1"/>
  <c r="H25" i="1" s="1"/>
  <c r="L35" i="12"/>
  <c r="J35" i="12"/>
  <c r="E19" i="6"/>
  <c r="D19" i="6" s="1"/>
  <c r="B29" i="13" l="1"/>
  <c r="C29" i="13" s="1"/>
  <c r="T32" i="12"/>
  <c r="H17" i="13"/>
  <c r="E25" i="13"/>
  <c r="E31" i="6"/>
  <c r="D31" i="6" s="1"/>
  <c r="D29" i="13"/>
  <c r="X20" i="12"/>
  <c r="I26" i="1"/>
  <c r="H26" i="1" s="1"/>
  <c r="J27" i="1"/>
  <c r="C20" i="6"/>
  <c r="D20" i="6" s="1"/>
  <c r="K35" i="12"/>
  <c r="O35" i="12" s="1"/>
  <c r="W28" i="12" l="1"/>
  <c r="D32" i="13" s="1"/>
  <c r="B31" i="13"/>
  <c r="C31" i="13" s="1"/>
  <c r="H9" i="13"/>
  <c r="E29" i="13"/>
  <c r="R34" i="12"/>
  <c r="U32" i="12" s="1"/>
  <c r="X28" i="12" s="1"/>
  <c r="J28" i="1"/>
  <c r="I27" i="1"/>
  <c r="H27" i="1" s="1"/>
  <c r="H3" i="13" l="1"/>
  <c r="E32" i="13"/>
  <c r="I28" i="1"/>
  <c r="H28" i="1" s="1"/>
  <c r="J29" i="1"/>
  <c r="J30" i="1" l="1"/>
  <c r="I29" i="1"/>
  <c r="H29" i="1" s="1"/>
  <c r="I30" i="1" l="1"/>
  <c r="H30" i="1" s="1"/>
  <c r="J31" i="1"/>
  <c r="I31" i="1" l="1"/>
  <c r="H31" i="1" s="1"/>
  <c r="J32" i="1"/>
  <c r="I32" i="1" l="1"/>
  <c r="H32" i="1" s="1"/>
  <c r="J33" i="1"/>
  <c r="I33" i="1" s="1"/>
  <c r="H33" i="1" l="1"/>
</calcChain>
</file>

<file path=xl/sharedStrings.xml><?xml version="1.0" encoding="utf-8"?>
<sst xmlns="http://schemas.openxmlformats.org/spreadsheetml/2006/main" count="543" uniqueCount="275">
  <si>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</si>
  <si>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</si>
  <si>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</si>
  <si>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</si>
  <si>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</si>
  <si>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</si>
  <si>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</si>
  <si>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</si>
  <si>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</si>
  <si>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</si>
  <si>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</si>
  <si>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</si>
  <si>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</si>
  <si>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</si>
  <si>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</si>
  <si>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</si>
  <si>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</si>
  <si>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</si>
  <si>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</si>
  <si>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</si>
  <si>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</si>
  <si>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</si>
  <si>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</si>
  <si>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</si>
  <si>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</si>
  <si>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</si>
  <si>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</si>
  <si>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</si>
  <si>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</si>
  <si>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</si>
  <si>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</si>
  <si>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</si>
  <si>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</si>
  <si>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</si>
  <si>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</si>
  <si>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</si>
  <si>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</si>
  <si>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</si>
  <si>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</si>
  <si>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</si>
  <si>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</si>
  <si>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</si>
  <si>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</si>
  <si>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</si>
  <si>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</si>
  <si>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</si>
  <si>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Pts</t>
  </si>
  <si>
    <t xml:space="preserve">0 0 0 0 0 0 0 0 0 0 0 0 0 0 0 0 0 0 0 0 0 0 0 0 0 0 0 0 0 0 0 0 0 0 0 0 0 0 0 0  </t>
  </si>
  <si>
    <t>BoldPlayers</t>
  </si>
  <si>
    <t>βαθμοί</t>
  </si>
  <si>
    <t>Υπογραφή</t>
  </si>
  <si>
    <t xml:space="preserve">md  (# για off) </t>
  </si>
  <si>
    <t>Rnd</t>
  </si>
  <si>
    <t>Main Draw</t>
  </si>
  <si>
    <t>i</t>
  </si>
  <si>
    <t>Round 1</t>
  </si>
  <si>
    <t xml:space="preserve">Κατηγορία: </t>
  </si>
  <si>
    <t>Category</t>
  </si>
  <si>
    <t>-</t>
  </si>
  <si>
    <t>round</t>
  </si>
  <si>
    <t>winner</t>
  </si>
  <si>
    <t>looser</t>
  </si>
  <si>
    <t>score</t>
  </si>
  <si>
    <t>Set-up</t>
  </si>
  <si>
    <t>Α12</t>
  </si>
  <si>
    <t>Α14</t>
  </si>
  <si>
    <t>Α16</t>
  </si>
  <si>
    <t>Α18</t>
  </si>
  <si>
    <t>Κ12</t>
  </si>
  <si>
    <t>Κ14</t>
  </si>
  <si>
    <t>Κ16</t>
  </si>
  <si>
    <t>Κ18</t>
  </si>
  <si>
    <t>Α10</t>
  </si>
  <si>
    <t>Κ10</t>
  </si>
  <si>
    <t>ΑΝΔ</t>
  </si>
  <si>
    <t>ΓΥΝ</t>
  </si>
  <si>
    <t>1ος</t>
  </si>
  <si>
    <t>2ος</t>
  </si>
  <si>
    <t>9-16</t>
  </si>
  <si>
    <t>17-32</t>
  </si>
  <si>
    <t>E1-12</t>
  </si>
  <si>
    <t>E1-14</t>
  </si>
  <si>
    <t>E1-16</t>
  </si>
  <si>
    <t>E1-18</t>
  </si>
  <si>
    <t>E2-12</t>
  </si>
  <si>
    <t>E2-14</t>
  </si>
  <si>
    <t>E2-16</t>
  </si>
  <si>
    <t>E3-12</t>
  </si>
  <si>
    <t>E3-14</t>
  </si>
  <si>
    <t>E3-16</t>
  </si>
  <si>
    <t xml:space="preserve">grade: </t>
  </si>
  <si>
    <t xml:space="preserve">age: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</si>
  <si>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</si>
  <si>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</si>
  <si>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</si>
  <si>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</si>
  <si>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</si>
  <si>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</si>
  <si>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</si>
  <si>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>9_16</t>
  </si>
  <si>
    <t>17_32</t>
  </si>
  <si>
    <t xml:space="preserve"> Player </t>
  </si>
  <si>
    <t xml:space="preserve"> Position </t>
  </si>
  <si>
    <t xml:space="preserve">Μέγεθος ταμπλό: </t>
  </si>
  <si>
    <t>ΟΡΦΑΝΙΔΗΣ Μ (0)</t>
  </si>
  <si>
    <t>ΠΑΠΟΥΤΣΗΣ Π (0)</t>
  </si>
  <si>
    <t>ΦΡΑΓΚΑΚΗΣ Τ (0)</t>
  </si>
  <si>
    <t>ΡΟΔΙΤΗΣ Ν (0)</t>
  </si>
  <si>
    <t>ΚΟΥΛΟΥΜΠΗΣ Γ (0)</t>
  </si>
  <si>
    <t>ΦΩΚΙΑΛΗΣ Γ (0)</t>
  </si>
  <si>
    <t>GENTILI S (0)</t>
  </si>
  <si>
    <t>ΠΕΝΣΟΣ Ε (0)</t>
  </si>
  <si>
    <t>ΔΕΣΥΠΡΗΣ Γ (0)</t>
  </si>
  <si>
    <t>ΠΑΝΤΑΖΑΤΟΣ Γ (0)</t>
  </si>
  <si>
    <t>ΖΑΦΕΙΡΟΠΟΥΛΟΣ Α (0)</t>
  </si>
  <si>
    <t>ΠΕΡΡΗΣ Ν (0)</t>
  </si>
  <si>
    <t>ΓΕΩΡΓΙΑΔΗΣ Α (0)</t>
  </si>
  <si>
    <t>ΜΑΜΑΣΗΣ Γ (0)</t>
  </si>
  <si>
    <t>ΤΖΩΡΤΖΗΣ Δ (0)</t>
  </si>
  <si>
    <t>ΜΩΥΣΙΔΗΣ Ν (0)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</si>
  <si>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</si>
  <si>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</si>
  <si>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</si>
  <si>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</si>
  <si>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</si>
  <si>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</si>
  <si>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</si>
  <si>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</si>
  <si>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</si>
  <si>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</si>
  <si>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</si>
  <si>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</si>
  <si>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</si>
  <si>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</si>
  <si>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</si>
  <si>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</si>
  <si>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>e3</t>
  </si>
  <si>
    <t xml:space="preserve">organizer: </t>
  </si>
  <si>
    <t>E4-12</t>
  </si>
  <si>
    <t>E4-14</t>
  </si>
  <si>
    <t>E4-16</t>
  </si>
  <si>
    <t>Ζ΄ ΕΝΩΣΗ</t>
  </si>
  <si>
    <t>3ο Ε3 2016</t>
  </si>
  <si>
    <t>22</t>
  </si>
  <si>
    <t xml:space="preserve">23 Οκτωβρίου </t>
  </si>
  <si>
    <t>Γ.Σ. ΛΙΒΥΚΟΣ ΙΕΡΑΠ.</t>
  </si>
  <si>
    <t>Κ. Χατζηδάκης</t>
  </si>
  <si>
    <t>ΜΑΤΣΑΜΑΚΗΣ ΕΛΕΥΘΕΡΙΟΣ</t>
  </si>
  <si>
    <t>Ο.Α.ΧΑΝΙΩΝ</t>
  </si>
  <si>
    <t>ΜΑΝΔΑΛΕΝΑΚΗΣ ΑΝΑΣΤΑΣΙΟΣ</t>
  </si>
  <si>
    <t>ΗΡΑΚΛΕΙΟ Ο.Α.&amp; Α.</t>
  </si>
  <si>
    <t>ΓΕΝΝΑΡΑΚΗΣ ΝΙΚΟΛΑΟΣ</t>
  </si>
  <si>
    <t>ΖΕΡΒΟΣ ΣΤΥΛΙΑΝΟΣ</t>
  </si>
  <si>
    <t>ΧΑΛΑΚΑΤΕΒΑΚΗΣ ΑΠΟΣΤΟΛΟΣ</t>
  </si>
  <si>
    <t>ΠΕΤΡΑΚΗΣ ΣΤΥΛΙΑΝΟΣ</t>
  </si>
  <si>
    <t>ΚΟΚΚΙΝΑΚΗΣ ΓΕΩΡΓΙΟΣ</t>
  </si>
  <si>
    <t>ΣΠΥΡΟΠΟΥΛΟΣ ΝΙΚΟΛΑΟΣ</t>
  </si>
  <si>
    <t>Ο.Α.ΡΕΘΥΜΝΟΥ</t>
  </si>
  <si>
    <t>ΒΟΛΤΥΡΑΚΗΣ ΕΥΤΥΧΙΟΣ</t>
  </si>
  <si>
    <t>ΠΕΡΔΙΚΑΚΗΣ ΕΜΜΑΝΟΥΗΛ</t>
  </si>
  <si>
    <t>Γ.Σ.ΛΙΒΥΚΟΣ ΙΕΡΑΠΕΤΡΑΣ</t>
  </si>
  <si>
    <t>ΜΑΡΑΚΗΣ ΜΙΧΑΗΛ</t>
  </si>
  <si>
    <t>ΝΙΝΟΣ ΝΙΚΟΛΑΟΣ</t>
  </si>
  <si>
    <t>ΚΑΫΜΕΝΑΚΗΣ ΑΡΙΣΤΟΤΕΛΗΣ</t>
  </si>
  <si>
    <t>ΤΣΙΤΟΥΝΗΣ ΜΙΧΑΛΗΣ</t>
  </si>
  <si>
    <t>ΦΙΛΙΑ Τ.Κ.</t>
  </si>
  <si>
    <t>ΞΙΑΡΧΟΣ ΕΜΜΑΝΟΥΗΛ</t>
  </si>
  <si>
    <t>Α.Ο.ΛΑΤΩ ΑΓ.ΝΙΚΟΛΑΟΥ</t>
  </si>
  <si>
    <t>ΤΑΒΕΡΝΑΡΑΚΗΣ ΕΜΜΑΝΟΥΗΛ</t>
  </si>
  <si>
    <t>ΒΕΓΟΠΟΥΛΟΣ ΧΑΡΑΛΑΜΠΟΣ</t>
  </si>
  <si>
    <t>ΚΩΣΤΑΚΗΣ ΕΜΜΑΝΟΥΗΛ</t>
  </si>
  <si>
    <t>ΜΠΟΥΝΑΚΗΣ ΔΗΜΗΤΡΙΟΣ</t>
  </si>
  <si>
    <t>ΝΕΚΤΑΡΙΟΣ ΑΘΑΝΑΣΙΟΣ</t>
  </si>
  <si>
    <t>ΚΑΛΑΤΖΗΣ ΑΛΕΞΑΝΔΡΟΣ</t>
  </si>
  <si>
    <t>ΚΑΡΑΚΩΣΤΑΣ ΣΠΥΡΙΔΩΝ</t>
  </si>
  <si>
    <t>ΒΕΛΕΝΤΑΚΗΣ ΙΩΑΝΝΗΣ</t>
  </si>
  <si>
    <t>ΣΤΡΟΜΠΑ ΙΩΣΗΦ-ΛΑΥΡΕΝΤΗΣ</t>
  </si>
  <si>
    <t>ΦΟΥΝΤΟΥΛΑΚΗΣ ΝΙΚΟΛΑΟΣ</t>
  </si>
  <si>
    <t>ΚΟΚΚΑΛΗΣ ΣΤΥΛΙΑΝΟΣ</t>
  </si>
  <si>
    <t>3 4</t>
  </si>
  <si>
    <t>6 7 5 8</t>
  </si>
  <si>
    <t xml:space="preserve">0 0 0 0 0 0 1 2 3 4 5 6 7 8 18 9 10 26 21 25 20 22 12 19 17 11 15 23 16 14 24 13 </t>
  </si>
  <si>
    <t>ok</t>
  </si>
  <si>
    <t>Ζ΄ ΕΝΩΣΗ, 3ο Ε3 2016, Γ.Σ. ΛΙΒΥΚΟΣ ΙΕΡΑΠ. (Α12)</t>
  </si>
  <si>
    <t>ΜΑΤΣΑΜΑΚΗΣ Ε (Ο.Α.ΧΑΝΙΩΝ)</t>
  </si>
  <si>
    <t/>
  </si>
  <si>
    <t>ΚΩΣΤΑΚΗΣ Ε (ΗΡΑΚΛΕΙΟ Ο.Α.&amp; Α.)</t>
  </si>
  <si>
    <t>ΒΟΛΤΥΡΑΚΗΣ Ε (Ο.Α.ΧΑΝΙΩΝ)</t>
  </si>
  <si>
    <t>ΠΕΡΔΙΚΑΚΗΣ Ε (Γ.Σ.ΛΙΒΥΚΟΣ ΙΕΡΑΠΕΤΡΑΣ)</t>
  </si>
  <si>
    <t>ΦΟΥΝΤΟΥΛΑΚΗΣ Ν (Ο.Α.ΧΑΝΙΩΝ)</t>
  </si>
  <si>
    <t>ΠΕΤΡΑΚΗΣ Σ (Ο.Α.ΧΑΝΙΩΝ)</t>
  </si>
  <si>
    <t>ΓΕΝΝΑΡΑΚΗΣ Ν (ΗΡΑΚΛΕΙΟ Ο.Α.&amp; Α.)</t>
  </si>
  <si>
    <t>ΜΠΟΥΝΑΚΗΣ Δ (ΗΡΑΚΛΕΙΟ Ο.Α.&amp; Α.)</t>
  </si>
  <si>
    <t>ΚΑΛΑΤΖΗΣ Α (ΗΡΑΚΛΕΙΟ Ο.Α.&amp; Α.)</t>
  </si>
  <si>
    <t>ΚΑΡΑΚΩΣΤΑΣ Σ (ΗΡΑΚΛΕΙΟ Ο.Α.&amp; Α.)</t>
  </si>
  <si>
    <t>ΒΕΛΕΝΤΑΚΗΣ Ι (ΗΡΑΚΛΕΙΟ Ο.Α.&amp; Α.)</t>
  </si>
  <si>
    <t>ΝΙΝΟΣ Ν (Ο.Α.ΡΕΘΥΜΝΟΥ)</t>
  </si>
  <si>
    <t>ΚΟΚΚΙΝΑΚΗΣ Γ (Ο.Α.ΧΑΝΙΩΝ)</t>
  </si>
  <si>
    <t>ΧΑΛΑΚΑΤΕΒΑΚΗΣ Α (Ο.Α.ΧΑΝΙΩΝ)</t>
  </si>
  <si>
    <t>ΣΤΡΟΜΠΑ Ι (Ο.Α.ΧΑΝΙΩΝ)</t>
  </si>
  <si>
    <t>ΒΕΓΟΠΟΥΛΟΣ Χ (ΦΙΛΙΑ Τ.Κ.)</t>
  </si>
  <si>
    <t>ΜΑΡΑΚΗΣ Μ (Ο.Α.ΧΑΝΙΩΝ)</t>
  </si>
  <si>
    <t>ΞΙΑΡΧΟΣ Ε (Α.Ο.ΛΑΤΩ ΑΓ.ΝΙΚΟΛΑΟΥ)</t>
  </si>
  <si>
    <t>ΖΕΡΒΟΣ Σ (Ο.Α.ΧΑΝΙΩΝ)</t>
  </si>
  <si>
    <t>ΣΠΥΡΟΠΟΥΛΟΣ Ν (Ο.Α.ΡΕΘΥΜΝΟΥ)</t>
  </si>
  <si>
    <t>ΝΕΚΤΑΡΙΟΣ Α (ΗΡΑΚΛΕΙΟ Ο.Α.&amp; Α.)</t>
  </si>
  <si>
    <t>ΤΑΒΕΡΝΑΡΑΚΗΣ Ε (ΗΡΑΚΛΕΙΟ Ο.Α.&amp; Α.)</t>
  </si>
  <si>
    <t>ΤΣΙΤΟΥΝΗΣ Μ (ΦΙΛΙΑ Τ.Κ.)</t>
  </si>
  <si>
    <t>ΚΟΚΚΑΛΗΣ Σ (Γ.Σ.ΛΙΒΥΚΟΣ ΙΕΡΑΠΕΤΡΑΣ)</t>
  </si>
  <si>
    <t>ΚΑΫΜΕΝΑΚΗΣ Α (Ο.Α.ΧΑΝΙΩΝ)</t>
  </si>
  <si>
    <t>ΜΑΝΔΑΛΕΝΑΚΗΣ Α (ΗΡΑΚΛΕΙΟ Ο.Α.&amp; Α.)</t>
  </si>
  <si>
    <t>ΜΑΡΙΝΑΚΗ Σ (Ο.Α.ΧΑΝΙΩΝ)</t>
  </si>
  <si>
    <t>ΓΑΡΕΦΑΛΑΚΗ Μ (ΗΡΑΚΛΕΙΟ Ο.Α.&amp; Α.)</t>
  </si>
  <si>
    <t>ΚΑΡΟΦΥΛΑΚΗ Β (Γ.Σ.ΛΙΒΥΚΟΣ ΙΕΡΑΠΕΤΡΑΣ)</t>
  </si>
  <si>
    <t>ΠΡΙΝΙΑΝΑΚΗ Ε (ΦΙΛΙΑ Τ.Κ.)</t>
  </si>
  <si>
    <t>ΔΑΒΡΑΔΟΥ Ε (Α.Ο.ΛΑΤΩ ΑΓ.ΝΙΚΟΛΑΟΥ)</t>
  </si>
  <si>
    <t>ΝΤΑΜΠΑΚΑΚΗ Χ (ΗΡΑΚΛΕΙΟ Ο.Α.&amp; Α.)</t>
  </si>
  <si>
    <t>ΚΟΚΚΙΝΑΚΗ Μ (Ο.Α.ΧΑΝΙΩΝ)</t>
  </si>
  <si>
    <t>ΚΑΡΑΠΑΝΤΑΖΗ Κ (Ο.Α.ΣΟΥΔΑΣ)</t>
  </si>
  <si>
    <t>ΧΑΤΖΗΑΘΑΝΑΣΙΑΔΗ Ι (ΗΡΑΚΛΕΙΟ Ο.Α.&amp; Α.)</t>
  </si>
  <si>
    <t>ΑΛΠΑΝΤΗ Α (Ο.Α.ΣΟΥΔΑΣ)</t>
  </si>
  <si>
    <t>ΤΣΑΚΑΛΑΚΗΣ Ν (ΗΡΑΚΛΕΙΟ Ο.Α.&amp; Α.)</t>
  </si>
  <si>
    <t>ΣΙΜΑΤΟΣ Γ (ΗΡΑΚΛΕΙΟ Ο.Α.&amp; Α.)</t>
  </si>
  <si>
    <t>ΜΑΡΙΝΑΚΗ</t>
  </si>
  <si>
    <t>ΓΑΡΕΦΑΛΑΚΗ</t>
  </si>
  <si>
    <t>ΠΡΙΝΙΑΝΑΚΗ</t>
  </si>
  <si>
    <t>ΔΑΒΡΑΔΟΥ</t>
  </si>
  <si>
    <t>ΝΤΑΜΠΑΚΑΚΗ</t>
  </si>
  <si>
    <t>ΚΟΚΚΙΝΑΚΗ</t>
  </si>
  <si>
    <t>ΚΑΡΑΠΑΝΤΑΖΗ</t>
  </si>
  <si>
    <t>ΑΛΠΑΝΤΗ</t>
  </si>
  <si>
    <t>ΚΑΡΑΧΑΛΙΟΣ</t>
  </si>
  <si>
    <t>ΜΠΑΛΑΣΚΑ Β (Ο.Α.ΧΑΝΙΩΝ)</t>
  </si>
  <si>
    <t>ΔΕΣΚΟΥΛΙΔΟΥ Ι (Α.Π.Μ.Σ.ΑΣΚΗΣΗ ΗΡΑΚΛΕΙΟΥ)</t>
  </si>
  <si>
    <t>ΖΑΦΕΙΡΟΠΟΥΛΟΥ Κ (ΗΡΑΚΛΕΙΟ Ο.Α.&amp; Α.)</t>
  </si>
  <si>
    <t>ΔΕΣΚΟΥΛΙΔΟΥ Χ (Α.Π.Μ.Σ.ΑΣΚΗΣΗ ΗΡΑΚΛΕΙΟΥ)</t>
  </si>
  <si>
    <t>ΒΑΡΒΕΡΑΚΗ Μ (Ο.Α.ΧΑΝΙΩΝ)</t>
  </si>
  <si>
    <t>ΚΡΟΝΤΗΡΑ Ε (ΗΡΑΚΛΕΙΟ Ο.Α.&amp; Α.)</t>
  </si>
  <si>
    <t>ΣΤΑΜΟΥΛΟΥ Α (Ο.Α.ΧΑΝΙΩΝ)</t>
  </si>
  <si>
    <t>ΒΕΛΙΒΑΣΑΚΗ Χ (ΗΡΑΚΛΕΙΟ Ο.Α.&amp; Α.)</t>
  </si>
  <si>
    <t>ΜΑΡΓΑΡΙΤΗΣ</t>
  </si>
  <si>
    <t>ΚΟΝΤΑΡΑΚΗΣ</t>
  </si>
  <si>
    <t>ΧΑΛΑΚΑΤΕΒΑΚΗΣ</t>
  </si>
  <si>
    <t>ΚΩΝΣΤΑΝΤΑΡΑΚΗΣ ΑΝΔΡΕΑΣ</t>
  </si>
  <si>
    <t>ΚΩΝΣΤΑΝΤΑΡΑΚΗΣ ΑΝΤΩΝΙΟΣ</t>
  </si>
  <si>
    <t>ΤΣΑΚΑΛΑΚΗΣ</t>
  </si>
  <si>
    <t>ΜΑΤΣΑΜΑΚΗΣ</t>
  </si>
  <si>
    <t>ΚΥΡΙΑΚΗ 23/10/2016</t>
  </si>
  <si>
    <t>ημΑ12</t>
  </si>
  <si>
    <t>ημΚ12</t>
  </si>
  <si>
    <t>ημΑ16</t>
  </si>
  <si>
    <t>τελΚ16</t>
  </si>
  <si>
    <t>τελΑ12</t>
  </si>
  <si>
    <t>τελΚ12</t>
  </si>
  <si>
    <t>τελΑ16</t>
  </si>
  <si>
    <t>ΚΟΥΓΙΟΥΜΟΥΤΖΗΣ ΚΩΝΣΤΑΝΤΙΝΟΣ</t>
  </si>
  <si>
    <t>Ο</t>
  </si>
  <si>
    <t>54(4) 42</t>
  </si>
  <si>
    <t>40 30 ret</t>
  </si>
  <si>
    <t>53 54(4)</t>
  </si>
  <si>
    <t>40 40</t>
  </si>
  <si>
    <t>40 42</t>
  </si>
  <si>
    <t>40 54(0)</t>
  </si>
  <si>
    <t>53 42</t>
  </si>
  <si>
    <t>42 42</t>
  </si>
  <si>
    <t>41 40</t>
  </si>
  <si>
    <t>41 42</t>
  </si>
  <si>
    <t>42 14 (10-8)</t>
  </si>
  <si>
    <t>40 41</t>
  </si>
  <si>
    <t>42 40</t>
  </si>
  <si>
    <t>42 41</t>
  </si>
  <si>
    <t>54(10) 53</t>
  </si>
  <si>
    <t>46 76(7) 60</t>
  </si>
  <si>
    <t>61 63</t>
  </si>
  <si>
    <t>62 62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</si>
</sst>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"/>
  </numFmts>
  <fonts count="7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4"/>
      <name val="Tahoma"/>
      <family val="2"/>
      <charset val="161"/>
    </font>
    <font>
      <sz val="14"/>
      <name val="Tahoma"/>
      <family val="2"/>
      <charset val="161"/>
    </font>
    <font>
      <b/>
      <i/>
      <sz val="10"/>
      <name val="Tahoma"/>
      <family val="2"/>
      <charset val="161"/>
    </font>
    <font>
      <b/>
      <sz val="16"/>
      <name val="Tahoma"/>
      <family val="2"/>
      <charset val="161"/>
    </font>
    <font>
      <sz val="12"/>
      <name val="Tahoma"/>
      <family val="2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i/>
      <u/>
      <sz val="10"/>
      <name val="Tahoma"/>
      <family val="2"/>
      <charset val="161"/>
    </font>
    <font>
      <b/>
      <u/>
      <sz val="14"/>
      <name val="Tahoma"/>
      <family val="2"/>
      <charset val="161"/>
    </font>
    <font>
      <sz val="6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2"/>
      <color indexed="10"/>
      <name val="Tahoma"/>
      <family val="2"/>
      <charset val="161"/>
    </font>
    <font>
      <sz val="12"/>
      <color indexed="10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b/>
      <i/>
      <u/>
      <sz val="7"/>
      <color theme="0" tint="-4.9989318521683403E-2"/>
      <name val="Tahoma"/>
      <family val="2"/>
      <charset val="161"/>
    </font>
    <font>
      <i/>
      <sz val="7"/>
      <color theme="0" tint="-4.9989318521683403E-2"/>
      <name val="Tahoma"/>
      <family val="2"/>
      <charset val="161"/>
    </font>
    <font>
      <b/>
      <sz val="7"/>
      <color theme="1"/>
      <name val="Verdana"/>
      <family val="2"/>
      <charset val="161"/>
    </font>
    <font>
      <b/>
      <sz val="7"/>
      <color rgb="FF000000"/>
      <name val="Verdana"/>
      <family val="2"/>
      <charset val="161"/>
    </font>
    <font>
      <sz val="7"/>
      <color rgb="FF000000"/>
      <name val="Verdana"/>
      <family val="2"/>
      <charset val="161"/>
    </font>
    <font>
      <sz val="8"/>
      <color theme="0" tint="-0.14999847407452621"/>
      <name val="Tahoma"/>
      <family val="2"/>
      <charset val="161"/>
    </font>
    <font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i/>
      <sz val="10"/>
      <color rgb="FF0070C0"/>
      <name val="Tahoma"/>
      <family val="2"/>
      <charset val="161"/>
    </font>
    <font>
      <b/>
      <i/>
      <sz val="9"/>
      <name val="Tahoma"/>
      <family val="2"/>
      <charset val="161"/>
    </font>
    <font>
      <b/>
      <sz val="8"/>
      <color rgb="FF7030A0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b/>
      <sz val="16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  <font>
      <sz val="12"/>
      <color theme="0" tint="-0.499984740745262"/>
      <name val="Tahoma"/>
      <family val="2"/>
      <charset val="161"/>
    </font>
    <font>
      <b/>
      <i/>
      <sz val="8"/>
      <name val="Tahoma"/>
      <family val="2"/>
      <charset val="161"/>
    </font>
    <font>
      <b/>
      <sz val="12"/>
      <color theme="0" tint="-0.499984740745262"/>
      <name val="Tahoma"/>
      <family val="2"/>
      <charset val="161"/>
    </font>
    <font>
      <sz val="14"/>
      <color theme="0" tint="-0.499984740745262"/>
      <name val="Tahoma"/>
      <family val="2"/>
      <charset val="161"/>
    </font>
    <font>
      <b/>
      <i/>
      <sz val="8"/>
      <color theme="0" tint="-0.499984740745262"/>
      <name val="Tahoma"/>
      <family val="2"/>
      <charset val="161"/>
    </font>
    <font>
      <b/>
      <i/>
      <sz val="10"/>
      <color theme="0" tint="-0.499984740745262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7" borderId="12" xfId="0" applyFont="1" applyFill="1" applyBorder="1" applyAlignment="1">
      <alignment horizontal="centerContinuous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" xfId="0" applyNumberFormat="1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</xf>
    <xf numFmtId="0" fontId="16" fillId="0" borderId="8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5" fillId="2" borderId="13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21" fillId="9" borderId="13" xfId="0" applyFont="1" applyFill="1" applyBorder="1" applyAlignment="1" applyProtection="1">
      <alignment horizontal="left" vertical="center"/>
      <protection locked="0"/>
    </xf>
    <xf numFmtId="0" fontId="21" fillId="9" borderId="15" xfId="0" applyFont="1" applyFill="1" applyBorder="1" applyAlignment="1" applyProtection="1">
      <alignment horizontal="left" vertical="center"/>
      <protection locked="0"/>
    </xf>
    <xf numFmtId="49" fontId="21" fillId="9" borderId="15" xfId="0" applyNumberFormat="1" applyFont="1" applyFill="1" applyBorder="1" applyAlignment="1" applyProtection="1">
      <alignment horizontal="left" vertical="center"/>
      <protection locked="0"/>
    </xf>
    <xf numFmtId="0" fontId="21" fillId="9" borderId="14" xfId="0" applyFont="1" applyFill="1" applyBorder="1" applyAlignment="1" applyProtection="1">
      <alignment horizontal="left" vertical="center"/>
      <protection locked="0"/>
    </xf>
    <xf numFmtId="0" fontId="15" fillId="11" borderId="3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2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33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40" fillId="0" borderId="0" xfId="0" applyNumberFormat="1" applyFont="1" applyFill="1" applyAlignment="1" applyProtection="1">
      <alignment vertical="center"/>
      <protection locked="0"/>
    </xf>
    <xf numFmtId="0" fontId="40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NumberFormat="1" applyFont="1" applyFill="1" applyBorder="1" applyAlignment="1" applyProtection="1">
      <alignment horizontal="centerContinuous" vertical="center"/>
      <protection locked="0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quotePrefix="1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horizontal="left" vertical="center"/>
    </xf>
    <xf numFmtId="0" fontId="47" fillId="0" borderId="0" xfId="0" quotePrefix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4" fillId="0" borderId="2" xfId="0" quotePrefix="1" applyNumberFormat="1" applyFont="1" applyBorder="1" applyAlignment="1" applyProtection="1">
      <alignment vertical="center"/>
    </xf>
    <xf numFmtId="0" fontId="51" fillId="0" borderId="0" xfId="0" applyNumberFormat="1" applyFont="1" applyFill="1" applyAlignment="1" applyProtection="1">
      <alignment horizontal="left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9" fillId="11" borderId="1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6" fontId="5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12" borderId="8" xfId="0" applyFont="1" applyFill="1" applyBorder="1" applyAlignment="1" applyProtection="1">
      <alignment horizontal="center" vertical="center"/>
      <protection locked="0"/>
    </xf>
    <xf numFmtId="0" fontId="7" fillId="12" borderId="8" xfId="0" quotePrefix="1" applyFont="1" applyFill="1" applyBorder="1" applyAlignment="1" applyProtection="1">
      <alignment horizontal="center" vertical="center"/>
      <protection locked="0"/>
    </xf>
    <xf numFmtId="0" fontId="7" fillId="13" borderId="8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13" borderId="1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52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0" fontId="54" fillId="0" borderId="6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3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4" xfId="0" quotePrefix="1" applyNumberFormat="1" applyFont="1" applyBorder="1" applyAlignment="1" applyProtection="1">
      <alignment horizontal="center" vertical="center"/>
      <protection locked="0"/>
    </xf>
    <xf numFmtId="0" fontId="16" fillId="1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7" xfId="0" quotePrefix="1" applyNumberFormat="1" applyFont="1" applyBorder="1" applyAlignment="1" applyProtection="1">
      <alignment horizontal="center" vertical="center"/>
      <protection locked="0"/>
    </xf>
    <xf numFmtId="0" fontId="16" fillId="10" borderId="15" xfId="0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locked="0"/>
    </xf>
    <xf numFmtId="0" fontId="58" fillId="9" borderId="15" xfId="0" applyFont="1" applyFill="1" applyBorder="1" applyAlignment="1" applyProtection="1">
      <alignment horizontal="left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quotePrefix="1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11" borderId="4" xfId="0" applyFont="1" applyFill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0" xfId="0" quotePrefix="1" applyFont="1" applyFill="1" applyBorder="1" applyAlignment="1" applyProtection="1">
      <alignment vertical="center"/>
      <protection locked="0"/>
    </xf>
    <xf numFmtId="0" fontId="16" fillId="10" borderId="0" xfId="0" applyFont="1" applyFill="1" applyBorder="1" applyAlignment="1" applyProtection="1">
      <alignment horizontal="left" vertical="center"/>
      <protection locked="0"/>
    </xf>
    <xf numFmtId="0" fontId="16" fillId="10" borderId="0" xfId="0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centerContinuous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7" xfId="0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Border="1" applyAlignment="1" applyProtection="1">
      <alignment vertical="center"/>
      <protection locked="0"/>
    </xf>
    <xf numFmtId="0" fontId="15" fillId="0" borderId="0" xfId="0" quotePrefix="1" applyFont="1" applyBorder="1" applyAlignment="1" applyProtection="1">
      <alignment horizontal="left" vertical="center"/>
      <protection locked="0"/>
    </xf>
    <xf numFmtId="0" fontId="15" fillId="0" borderId="0" xfId="0" quotePrefix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quotePrefix="1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right" vertical="center"/>
    </xf>
    <xf numFmtId="0" fontId="4" fillId="14" borderId="10" xfId="0" applyFont="1" applyFill="1" applyBorder="1" applyAlignment="1" applyProtection="1">
      <alignment horizontal="right" vertical="center"/>
    </xf>
    <xf numFmtId="0" fontId="9" fillId="14" borderId="8" xfId="0" applyFont="1" applyFill="1" applyBorder="1" applyAlignment="1" applyProtection="1">
      <alignment horizontal="center" vertical="center"/>
      <protection locked="0"/>
    </xf>
    <xf numFmtId="0" fontId="60" fillId="0" borderId="6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0" fontId="61" fillId="0" borderId="10" xfId="0" applyFont="1" applyBorder="1" applyAlignment="1">
      <alignment horizontal="centerContinuous" vertical="center"/>
    </xf>
    <xf numFmtId="0" fontId="61" fillId="0" borderId="12" xfId="0" applyFont="1" applyBorder="1" applyAlignment="1">
      <alignment horizontal="centerContinuous" vertical="center"/>
    </xf>
    <xf numFmtId="0" fontId="61" fillId="7" borderId="12" xfId="0" applyFont="1" applyFill="1" applyBorder="1" applyAlignment="1">
      <alignment horizontal="centerContinuous" vertical="center"/>
    </xf>
    <xf numFmtId="49" fontId="61" fillId="0" borderId="12" xfId="0" applyNumberFormat="1" applyFont="1" applyBorder="1" applyAlignment="1">
      <alignment horizontal="center" vertical="center"/>
    </xf>
    <xf numFmtId="0" fontId="63" fillId="0" borderId="8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7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0" borderId="0" xfId="0" quotePrefix="1" applyFont="1" applyAlignment="1">
      <alignment vertical="center"/>
    </xf>
    <xf numFmtId="0" fontId="64" fillId="0" borderId="0" xfId="0" quotePrefix="1" applyFont="1" applyFill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2" xfId="0" applyNumberFormat="1" applyFont="1" applyFill="1" applyBorder="1" applyAlignment="1">
      <alignment vertical="center"/>
    </xf>
    <xf numFmtId="0" fontId="70" fillId="0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8" fillId="0" borderId="1" xfId="0" applyNumberFormat="1" applyFont="1" applyFill="1" applyBorder="1" applyAlignment="1" applyProtection="1">
      <alignment horizontal="left" vertical="center" shrinkToFit="1"/>
    </xf>
    <xf numFmtId="0" fontId="8" fillId="0" borderId="4" xfId="0" applyNumberFormat="1" applyFont="1" applyFill="1" applyBorder="1" applyAlignment="1" applyProtection="1">
      <alignment horizontal="left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36" fillId="6" borderId="0" xfId="0" applyFont="1" applyFill="1" applyBorder="1" applyAlignment="1" applyProtection="1">
      <alignment horizontal="center" vertical="center" shrinkToFit="1"/>
      <protection locked="0"/>
    </xf>
    <xf numFmtId="0" fontId="36" fillId="4" borderId="0" xfId="0" applyFont="1" applyFill="1" applyBorder="1" applyAlignment="1" applyProtection="1">
      <alignment horizontal="left" vertical="center" shrinkToFit="1"/>
      <protection locked="0"/>
    </xf>
    <xf numFmtId="0" fontId="36" fillId="6" borderId="0" xfId="0" applyFont="1" applyFill="1" applyBorder="1" applyAlignment="1" applyProtection="1">
      <alignment horizontal="left" vertical="center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7" fillId="0" borderId="7" xfId="0" applyNumberFormat="1" applyFont="1" applyFill="1" applyBorder="1" applyAlignment="1" applyProtection="1">
      <alignment horizontal="left" vertical="center" shrinkToFit="1"/>
    </xf>
    <xf numFmtId="0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vertical="center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left" vertical="center" shrinkToFit="1"/>
    </xf>
    <xf numFmtId="0" fontId="7" fillId="2" borderId="1" xfId="0" applyNumberFormat="1" applyFont="1" applyFill="1" applyBorder="1" applyAlignment="1" applyProtection="1">
      <alignment horizontal="left" vertical="center" shrinkToFit="1"/>
    </xf>
    <xf numFmtId="0" fontId="7" fillId="2" borderId="4" xfId="0" applyNumberFormat="1" applyFont="1" applyFill="1" applyBorder="1" applyAlignment="1" applyProtection="1">
      <alignment horizontal="left" vertical="center" shrinkToFit="1"/>
    </xf>
    <xf numFmtId="0" fontId="3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4" fillId="2" borderId="2" xfId="0" applyNumberFormat="1" applyFont="1" applyFill="1" applyBorder="1" applyAlignment="1" applyProtection="1">
      <alignment horizontal="left" vertical="center" shrinkToFit="1"/>
    </xf>
    <xf numFmtId="0" fontId="7" fillId="2" borderId="2" xfId="0" applyNumberFormat="1" applyFont="1" applyFill="1" applyBorder="1" applyAlignment="1" applyProtection="1">
      <alignment horizontal="left" vertical="center" shrinkToFit="1"/>
    </xf>
    <xf numFmtId="0" fontId="7" fillId="2" borderId="7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horizontal="left" vertical="center" shrinkToFit="1"/>
      <protection locked="0"/>
    </xf>
    <xf numFmtId="0" fontId="7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4" xfId="0" applyNumberFormat="1" applyFont="1" applyFill="1" applyBorder="1" applyAlignment="1" applyProtection="1">
      <alignment horizontal="left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0" fontId="5" fillId="2" borderId="2" xfId="0" applyNumberFormat="1" applyFont="1" applyFill="1" applyBorder="1" applyAlignment="1" applyProtection="1">
      <alignment horizontal="left" vertical="center" shrinkToFit="1"/>
    </xf>
    <xf numFmtId="0" fontId="8" fillId="2" borderId="2" xfId="0" applyNumberFormat="1" applyFont="1" applyFill="1" applyBorder="1" applyAlignment="1" applyProtection="1">
      <alignment horizontal="left" vertical="center" shrinkToFit="1"/>
    </xf>
    <xf numFmtId="0" fontId="8" fillId="2" borderId="7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8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5" xfId="0" applyNumberFormat="1" applyFont="1" applyFill="1" applyBorder="1" applyAlignment="1" applyProtection="1">
      <alignment horizontal="left" vertical="center" shrinkToFit="1"/>
    </xf>
    <xf numFmtId="0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8" fillId="8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5" xfId="0" applyNumberFormat="1" applyFont="1" applyFill="1" applyBorder="1" applyAlignment="1" applyProtection="1">
      <alignment horizontal="left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10" borderId="7" xfId="0" applyNumberFormat="1" applyFont="1" applyFill="1" applyBorder="1" applyAlignment="1" applyProtection="1">
      <alignment horizontal="center" vertical="center" shrinkToFit="1"/>
    </xf>
    <xf numFmtId="0" fontId="7" fillId="10" borderId="5" xfId="0" applyNumberFormat="1" applyFont="1" applyFill="1" applyBorder="1" applyAlignment="1" applyProtection="1">
      <alignment horizontal="center" vertical="center" shrinkToFit="1"/>
      <protection locked="0"/>
    </xf>
    <xf numFmtId="0" fontId="39" fillId="8" borderId="0" xfId="0" applyFont="1" applyFill="1" applyBorder="1" applyAlignment="1" applyProtection="1">
      <alignment horizontal="center" vertical="center" shrinkToFit="1"/>
      <protection locked="0"/>
    </xf>
    <xf numFmtId="0" fontId="7" fillId="0" borderId="7" xfId="0" applyNumberFormat="1" applyFont="1" applyFill="1" applyBorder="1" applyAlignment="1" applyProtection="1">
      <alignment horizontal="center" vertical="center" shrinkToFit="1"/>
    </xf>
    <xf numFmtId="0" fontId="3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horizontal="left" vertical="center" shrinkToFit="1"/>
    </xf>
    <xf numFmtId="0" fontId="7" fillId="2" borderId="0" xfId="0" applyNumberFormat="1" applyFont="1" applyFill="1" applyBorder="1" applyAlignment="1" applyProtection="1">
      <alignment horizontal="left" vertical="center" shrinkToFit="1"/>
    </xf>
    <xf numFmtId="0" fontId="7" fillId="2" borderId="5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quotePrefix="1" applyFont="1" applyAlignment="1">
      <alignment vertical="center" shrinkToFit="1"/>
    </xf>
    <xf numFmtId="0" fontId="4" fillId="0" borderId="0" xfId="0" quotePrefix="1" applyFont="1" applyFill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6" fillId="0" borderId="8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4" fillId="0" borderId="8" xfId="0" applyNumberFormat="1" applyFont="1" applyBorder="1" applyAlignment="1" applyProtection="1">
      <alignment vertical="center" shrinkToFit="1"/>
      <protection locked="0"/>
    </xf>
    <xf numFmtId="0" fontId="16" fillId="0" borderId="8" xfId="0" applyNumberFormat="1" applyFont="1" applyBorder="1" applyAlignment="1" applyProtection="1">
      <alignment vertical="center" shrinkToFit="1"/>
      <protection locked="0"/>
    </xf>
    <xf numFmtId="0" fontId="17" fillId="0" borderId="8" xfId="0" applyFont="1" applyBorder="1" applyAlignment="1" applyProtection="1">
      <alignment shrinkToFit="1"/>
      <protection locked="0"/>
    </xf>
    <xf numFmtId="49" fontId="16" fillId="0" borderId="8" xfId="0" applyNumberFormat="1" applyFont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35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NumberFormat="1" applyFont="1" applyFill="1" applyAlignment="1" applyProtection="1">
      <alignment horizontal="left" vertical="center" shrinkToFit="1"/>
      <protection locked="0"/>
    </xf>
    <xf numFmtId="0" fontId="35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3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5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8" xfId="0" applyNumberFormat="1" applyFont="1" applyFill="1" applyBorder="1" applyAlignment="1" applyProtection="1">
      <alignment horizontal="center" vertical="center"/>
    </xf>
    <xf numFmtId="166" fontId="28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Alignment="1" applyProtection="1">
      <alignment horizontal="center" vertical="center"/>
      <protection locked="0"/>
    </xf>
    <xf numFmtId="166" fontId="32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 applyProtection="1">
      <alignment horizontal="center" vertical="center" shrinkToFit="1"/>
    </xf>
    <xf numFmtId="166" fontId="7" fillId="0" borderId="2" xfId="0" applyNumberFormat="1" applyFont="1" applyFill="1" applyBorder="1" applyAlignment="1" applyProtection="1">
      <alignment horizontal="center" vertical="center" shrinkToFit="1"/>
    </xf>
    <xf numFmtId="166" fontId="7" fillId="2" borderId="1" xfId="0" applyNumberFormat="1" applyFont="1" applyFill="1" applyBorder="1" applyAlignment="1" applyProtection="1">
      <alignment horizontal="center" vertical="center" shrinkToFit="1"/>
    </xf>
    <xf numFmtId="166" fontId="7" fillId="2" borderId="2" xfId="0" applyNumberFormat="1" applyFont="1" applyFill="1" applyBorder="1" applyAlignment="1" applyProtection="1">
      <alignment horizontal="center" vertical="center" shrinkToFit="1"/>
    </xf>
    <xf numFmtId="166" fontId="7" fillId="0" borderId="0" xfId="0" applyNumberFormat="1" applyFont="1" applyFill="1" applyBorder="1" applyAlignment="1" applyProtection="1">
      <alignment horizontal="center" vertical="center" shrinkToFit="1"/>
    </xf>
    <xf numFmtId="166" fontId="7" fillId="2" borderId="0" xfId="0" applyNumberFormat="1" applyFont="1" applyFill="1" applyBorder="1" applyAlignment="1" applyProtection="1">
      <alignment horizontal="center" vertical="center" shrinkToFit="1"/>
    </xf>
    <xf numFmtId="166" fontId="40" fillId="0" borderId="0" xfId="0" applyNumberFormat="1" applyFont="1" applyFill="1" applyAlignment="1" applyProtection="1">
      <alignment horizontal="center" vertical="center"/>
      <protection locked="0"/>
    </xf>
    <xf numFmtId="166" fontId="7" fillId="0" borderId="0" xfId="0" applyNumberFormat="1" applyFont="1" applyFill="1" applyAlignment="1" applyProtection="1">
      <alignment vertical="center"/>
      <protection locked="0"/>
    </xf>
    <xf numFmtId="0" fontId="4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0" fillId="0" borderId="0" xfId="0" applyNumberFormat="1" applyFont="1" applyFill="1" applyBorder="1" applyAlignment="1" applyProtection="1">
      <alignment vertical="center" shrinkToFit="1"/>
      <protection locked="0"/>
    </xf>
    <xf numFmtId="0" fontId="40" fillId="0" borderId="0" xfId="0" applyNumberFormat="1" applyFont="1" applyFill="1" applyAlignment="1" applyProtection="1">
      <alignment vertical="center" shrinkToFit="1"/>
      <protection locked="0"/>
    </xf>
    <xf numFmtId="166" fontId="16" fillId="0" borderId="8" xfId="0" quotePrefix="1" applyNumberFormat="1" applyFont="1" applyBorder="1" applyAlignment="1" applyProtection="1">
      <alignment vertical="center" shrinkToFit="1"/>
      <protection locked="0"/>
    </xf>
    <xf numFmtId="166" fontId="16" fillId="0" borderId="8" xfId="0" quotePrefix="1" applyNumberFormat="1" applyFont="1" applyFill="1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0" fillId="0" borderId="6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5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5" xfId="0" applyFont="1" applyBorder="1" applyAlignment="1">
      <alignment horizontal="center" vertical="center" shrinkToFit="1"/>
    </xf>
    <xf numFmtId="0" fontId="55" fillId="0" borderId="6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5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 shrinkToFit="1"/>
    </xf>
    <xf numFmtId="0" fontId="36" fillId="0" borderId="2" xfId="0" applyFont="1" applyBorder="1" applyAlignment="1">
      <alignment horizontal="center" vertical="center" shrinkToFit="1"/>
    </xf>
    <xf numFmtId="0" fontId="17" fillId="0" borderId="8" xfId="0" applyNumberFormat="1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15" borderId="2" xfId="0" applyNumberFormat="1" applyFont="1" applyFill="1" applyBorder="1" applyAlignment="1" applyProtection="1">
      <alignment horizontal="left" vertical="center" shrinkToFit="1"/>
      <protection locked="0"/>
    </xf>
    <xf numFmtId="0" fontId="49" fillId="12" borderId="13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20" fontId="5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6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3" xfId="0" quotePrefix="1" applyNumberFormat="1" applyFont="1" applyBorder="1" applyAlignment="1" applyProtection="1">
      <alignment horizontal="center" vertical="center"/>
      <protection locked="0"/>
    </xf>
    <xf numFmtId="0" fontId="16" fillId="0" borderId="9" xfId="0" quotePrefix="1" applyNumberFormat="1" applyFont="1" applyBorder="1" applyAlignment="1" applyProtection="1">
      <alignment horizontal="center" vertical="center"/>
      <protection locked="0"/>
    </xf>
    <xf numFmtId="0" fontId="16" fillId="0" borderId="6" xfId="0" quotePrefix="1" applyNumberFormat="1" applyFont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8" fillId="11" borderId="3" xfId="0" applyFont="1" applyFill="1" applyBorder="1" applyAlignment="1" applyProtection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</xf>
    <xf numFmtId="0" fontId="8" fillId="11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8"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66675</xdr:colOff>
          <xdr:row>5</xdr:row>
          <xdr:rowOff>19050</xdr:rowOff>
        </xdr:from>
        <xdr:to>
          <xdr:col>12</xdr:col>
          <xdr:colOff>123825</xdr:colOff>
          <xdr:row>6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8</xdr:row>
          <xdr:rowOff>19050</xdr:rowOff>
        </xdr:from>
        <xdr:to>
          <xdr:col>12</xdr:col>
          <xdr:colOff>523875</xdr:colOff>
          <xdr:row>10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428625</xdr:colOff>
          <xdr:row>2</xdr:row>
          <xdr:rowOff>19050</xdr:rowOff>
        </xdr:from>
        <xdr:to>
          <xdr:col>26</xdr:col>
          <xdr:colOff>390525</xdr:colOff>
          <xdr:row>4</xdr:row>
          <xdr:rowOff>57150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8</xdr:row>
          <xdr:rowOff>57150</xdr:rowOff>
        </xdr:from>
        <xdr:to>
          <xdr:col>8</xdr:col>
          <xdr:colOff>533400</xdr:colOff>
          <xdr:row>10</xdr:row>
          <xdr:rowOff>47625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6</xdr:row>
          <xdr:rowOff>38100</xdr:rowOff>
        </xdr:from>
        <xdr:to>
          <xdr:col>8</xdr:col>
          <xdr:colOff>333375</xdr:colOff>
          <xdr:row>8</xdr:row>
          <xdr:rowOff>38100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showGridLines="0" zoomScale="115" zoomScaleNormal="115" workbookViewId="0">
      <selection activeCell="B24" sqref="B24"/>
    </sheetView>
  </sheetViews>
  <sheetFormatPr defaultColWidth="8.85546875" defaultRowHeight="12.75" x14ac:dyDescent="0.2"/>
  <cols>
    <col min="1" max="1" width="20.7109375" style="152" customWidth="1"/>
    <col min="2" max="2" width="30.7109375" style="145" customWidth="1"/>
    <col min="3" max="3" width="8.85546875" style="36" customWidth="1"/>
    <col min="4" max="4" width="5.85546875" style="38" hidden="1" customWidth="1"/>
    <col min="5" max="5" width="4.42578125" style="38" hidden="1" customWidth="1"/>
    <col min="6" max="6" width="4.42578125" style="167" hidden="1" customWidth="1"/>
    <col min="7" max="7" width="2.140625" style="148" hidden="1" customWidth="1"/>
    <col min="8" max="12" width="3.42578125" style="148" hidden="1" customWidth="1"/>
    <col min="13" max="13" width="8.85546875" style="151"/>
    <col min="14" max="14" width="12.42578125" style="151" bestFit="1" customWidth="1"/>
    <col min="15" max="16384" width="8.85546875" style="151"/>
  </cols>
  <sheetData>
    <row r="1" spans="1:12" ht="18" x14ac:dyDescent="0.2">
      <c r="A1" s="189" t="s">
        <v>103</v>
      </c>
      <c r="B1" s="190">
        <v>32</v>
      </c>
      <c r="D1" s="146" t="s">
        <v>19</v>
      </c>
      <c r="E1" s="147" t="s">
        <v>11</v>
      </c>
      <c r="F1" s="148"/>
      <c r="H1" s="146">
        <v>0</v>
      </c>
      <c r="I1" s="149" t="s">
        <v>11</v>
      </c>
      <c r="J1" s="34" t="s">
        <v>20</v>
      </c>
      <c r="K1" s="37" t="s">
        <v>23</v>
      </c>
      <c r="L1" s="150" t="s">
        <v>24</v>
      </c>
    </row>
    <row r="2" spans="1:12" x14ac:dyDescent="0.2">
      <c r="D2" s="371" t="s">
        <v>12</v>
      </c>
      <c r="E2" s="153">
        <f>VALUE(LEFT(F2,1))</f>
        <v>3</v>
      </c>
      <c r="F2" s="154" t="s">
        <v>179</v>
      </c>
      <c r="H2" s="155">
        <f t="shared" ref="H2:H11" si="0">IF(I2="-","-",IF(I2&gt;0,H1+1,0))</f>
        <v>0</v>
      </c>
      <c r="I2" s="156">
        <f>IF(J2&gt;0,VALUE(MID($A$32,1,J2-1)),"-")</f>
        <v>0</v>
      </c>
      <c r="J2" s="157">
        <f>IF(LEN($A$32)&gt;1,FIND(" ",$A$32,1),0)</f>
        <v>2</v>
      </c>
      <c r="K2" s="158">
        <v>0</v>
      </c>
      <c r="L2" s="159">
        <v>0</v>
      </c>
    </row>
    <row r="3" spans="1:12" x14ac:dyDescent="0.2">
      <c r="A3" s="48" t="s">
        <v>3</v>
      </c>
      <c r="B3" s="49" t="s">
        <v>141</v>
      </c>
      <c r="D3" s="372"/>
      <c r="E3" s="161">
        <f>VALUE(RIGHT(F2,1))</f>
        <v>4</v>
      </c>
      <c r="F3" s="148"/>
      <c r="H3" s="155">
        <f t="shared" si="0"/>
        <v>0</v>
      </c>
      <c r="I3" s="156">
        <f t="shared" ref="I3:I10" si="1">IF(J3&gt;0,VALUE(MID($A$32,J2+1,J3-J2-1)),"-")</f>
        <v>0</v>
      </c>
      <c r="J3" s="157">
        <f t="shared" ref="J3:J33" si="2">IF(AND(J2&gt;0,LEN($A$32)&gt;J2+1),FIND(" ",$A$32,J2+1),0)</f>
        <v>4</v>
      </c>
      <c r="K3" s="162">
        <v>0</v>
      </c>
      <c r="L3" s="163">
        <v>0</v>
      </c>
    </row>
    <row r="4" spans="1:12" x14ac:dyDescent="0.2">
      <c r="A4" s="48" t="s">
        <v>4</v>
      </c>
      <c r="B4" s="50" t="s">
        <v>142</v>
      </c>
      <c r="D4" s="146" t="s">
        <v>19</v>
      </c>
      <c r="E4" s="147" t="s">
        <v>11</v>
      </c>
      <c r="F4" s="148"/>
      <c r="H4" s="155">
        <f t="shared" si="0"/>
        <v>0</v>
      </c>
      <c r="I4" s="156">
        <f t="shared" si="1"/>
        <v>0</v>
      </c>
      <c r="J4" s="157">
        <f t="shared" si="2"/>
        <v>6</v>
      </c>
      <c r="K4" s="162">
        <v>0</v>
      </c>
      <c r="L4" s="163">
        <v>0</v>
      </c>
    </row>
    <row r="5" spans="1:12" x14ac:dyDescent="0.2">
      <c r="A5" s="188" t="s">
        <v>90</v>
      </c>
      <c r="B5" s="164" t="s">
        <v>136</v>
      </c>
      <c r="D5" s="371" t="s">
        <v>13</v>
      </c>
      <c r="E5" s="153" t="str">
        <f>TRIM(LEFT(F5,(FIND(" ",F5,1)-1)))</f>
        <v>6</v>
      </c>
      <c r="F5" s="154" t="s">
        <v>180</v>
      </c>
      <c r="H5" s="155">
        <f t="shared" si="0"/>
        <v>0</v>
      </c>
      <c r="I5" s="156">
        <f t="shared" si="1"/>
        <v>0</v>
      </c>
      <c r="J5" s="157">
        <f t="shared" si="2"/>
        <v>8</v>
      </c>
      <c r="K5" s="162">
        <v>0</v>
      </c>
      <c r="L5" s="163">
        <v>0</v>
      </c>
    </row>
    <row r="6" spans="1:12" x14ac:dyDescent="0.2">
      <c r="A6" s="188" t="s">
        <v>91</v>
      </c>
      <c r="B6" s="164">
        <v>12</v>
      </c>
      <c r="D6" s="373"/>
      <c r="E6" s="165" t="str">
        <f>TRIM(MID(F5,(FIND(" ",F5,1)),FIND(" ",F5,(FIND(" ",F5,1)+1))-(FIND(" ",F5,1))))</f>
        <v>7</v>
      </c>
      <c r="F6" s="148"/>
      <c r="H6" s="155">
        <f t="shared" si="0"/>
        <v>0</v>
      </c>
      <c r="I6" s="156">
        <f t="shared" si="1"/>
        <v>0</v>
      </c>
      <c r="J6" s="157">
        <f t="shared" si="2"/>
        <v>10</v>
      </c>
      <c r="K6" s="162">
        <v>0</v>
      </c>
      <c r="L6" s="163">
        <v>0</v>
      </c>
    </row>
    <row r="7" spans="1:12" x14ac:dyDescent="0.2">
      <c r="A7" s="48" t="s">
        <v>5</v>
      </c>
      <c r="B7" s="50" t="s">
        <v>145</v>
      </c>
      <c r="D7" s="373"/>
      <c r="E7" s="166" t="str">
        <f>TRIM(MID(F5, (FIND(" ",F5,(FIND(" ",F5,1)+1))+1), (FIND(" ",F5,(FIND(" ",F5,(FIND(" ",F5,1)+1))+1)))-(FIND(" ",F5,(FIND(" ",F5,1)+1))+1)))</f>
        <v>5</v>
      </c>
      <c r="F7" s="148"/>
      <c r="H7" s="155">
        <f t="shared" si="0"/>
        <v>0</v>
      </c>
      <c r="I7" s="156">
        <f t="shared" si="1"/>
        <v>0</v>
      </c>
      <c r="J7" s="157">
        <f t="shared" si="2"/>
        <v>12</v>
      </c>
      <c r="K7" s="162">
        <v>0</v>
      </c>
      <c r="L7" s="163">
        <v>0</v>
      </c>
    </row>
    <row r="8" spans="1:12" x14ac:dyDescent="0.2">
      <c r="A8" s="105" t="s">
        <v>56</v>
      </c>
      <c r="B8" s="50" t="s">
        <v>64</v>
      </c>
      <c r="D8" s="372"/>
      <c r="E8" s="161" t="str">
        <f>TRIM(RIGHT(F5,LEN(F5)-(FIND(" ",F5,(FIND(" ",F5,(FIND(" ",F5,1)+1))+1)))))</f>
        <v>8</v>
      </c>
      <c r="F8" s="148"/>
      <c r="H8" s="155">
        <f t="shared" si="0"/>
        <v>1</v>
      </c>
      <c r="I8" s="156">
        <f t="shared" si="1"/>
        <v>1</v>
      </c>
      <c r="J8" s="157">
        <f t="shared" si="2"/>
        <v>14</v>
      </c>
      <c r="K8" s="162">
        <v>1</v>
      </c>
      <c r="L8" s="163">
        <v>1</v>
      </c>
    </row>
    <row r="9" spans="1:12" x14ac:dyDescent="0.2">
      <c r="A9" s="48" t="s">
        <v>0</v>
      </c>
      <c r="B9" s="51" t="s">
        <v>143</v>
      </c>
      <c r="C9" s="151"/>
      <c r="D9" s="167"/>
      <c r="E9" s="167"/>
      <c r="F9" s="148"/>
      <c r="H9" s="155">
        <f t="shared" si="0"/>
        <v>2</v>
      </c>
      <c r="I9" s="156">
        <f t="shared" si="1"/>
        <v>2</v>
      </c>
      <c r="J9" s="157">
        <f t="shared" si="2"/>
        <v>16</v>
      </c>
      <c r="K9" s="162">
        <v>2</v>
      </c>
      <c r="L9" s="163">
        <v>2</v>
      </c>
    </row>
    <row r="10" spans="1:12" x14ac:dyDescent="0.2">
      <c r="A10" s="48" t="s">
        <v>1</v>
      </c>
      <c r="B10" s="51" t="s">
        <v>144</v>
      </c>
      <c r="C10" s="151"/>
      <c r="D10" s="168"/>
      <c r="E10" s="168"/>
      <c r="F10" s="148"/>
      <c r="H10" s="155">
        <f t="shared" si="0"/>
        <v>3</v>
      </c>
      <c r="I10" s="156">
        <f t="shared" si="1"/>
        <v>3</v>
      </c>
      <c r="J10" s="157">
        <f t="shared" si="2"/>
        <v>18</v>
      </c>
      <c r="K10" s="162">
        <v>3</v>
      </c>
      <c r="L10" s="163">
        <v>3</v>
      </c>
    </row>
    <row r="11" spans="1:12" x14ac:dyDescent="0.2">
      <c r="A11" s="48" t="s">
        <v>2</v>
      </c>
      <c r="B11" s="50" t="s">
        <v>146</v>
      </c>
      <c r="C11" s="151"/>
      <c r="D11" s="168"/>
      <c r="E11" s="167"/>
      <c r="F11" s="148"/>
      <c r="H11" s="155">
        <f t="shared" si="0"/>
        <v>4</v>
      </c>
      <c r="I11" s="156">
        <f t="shared" ref="I11:I33" si="3">IF(J11&gt;0,VALUE(MID($A$32,J10+1,J11-J10-1)),"-")</f>
        <v>4</v>
      </c>
      <c r="J11" s="157">
        <f t="shared" si="2"/>
        <v>20</v>
      </c>
      <c r="K11" s="162">
        <v>4</v>
      </c>
      <c r="L11" s="163">
        <v>4</v>
      </c>
    </row>
    <row r="12" spans="1:12" x14ac:dyDescent="0.2">
      <c r="A12" s="48" t="s">
        <v>18</v>
      </c>
      <c r="B12" s="52">
        <v>6948254785</v>
      </c>
      <c r="C12" s="151"/>
      <c r="D12" s="169"/>
      <c r="E12" s="169"/>
      <c r="F12" s="148"/>
      <c r="H12" s="155">
        <f t="shared" ref="H12:H33" si="4">IF(I12="-","-",IF(I12&gt;0,H11+1,0))</f>
        <v>5</v>
      </c>
      <c r="I12" s="156">
        <f t="shared" si="3"/>
        <v>5</v>
      </c>
      <c r="J12" s="157">
        <f t="shared" si="2"/>
        <v>22</v>
      </c>
      <c r="K12" s="162">
        <v>5</v>
      </c>
      <c r="L12" s="163">
        <v>5</v>
      </c>
    </row>
    <row r="13" spans="1:12" x14ac:dyDescent="0.2">
      <c r="A13" s="160"/>
      <c r="C13" s="151"/>
      <c r="D13" s="169"/>
      <c r="E13" s="169"/>
      <c r="F13" s="148"/>
      <c r="H13" s="155">
        <f t="shared" si="4"/>
        <v>6</v>
      </c>
      <c r="I13" s="156">
        <f t="shared" si="3"/>
        <v>6</v>
      </c>
      <c r="J13" s="157">
        <f t="shared" si="2"/>
        <v>24</v>
      </c>
      <c r="K13" s="162">
        <v>6</v>
      </c>
      <c r="L13" s="163">
        <v>6</v>
      </c>
    </row>
    <row r="14" spans="1:12" x14ac:dyDescent="0.2">
      <c r="A14" s="160"/>
      <c r="C14" s="151"/>
      <c r="D14" s="169"/>
      <c r="E14" s="169"/>
      <c r="F14" s="148"/>
      <c r="H14" s="155">
        <f t="shared" si="4"/>
        <v>7</v>
      </c>
      <c r="I14" s="156">
        <f t="shared" si="3"/>
        <v>7</v>
      </c>
      <c r="J14" s="157">
        <f t="shared" si="2"/>
        <v>26</v>
      </c>
      <c r="K14" s="162">
        <v>7</v>
      </c>
      <c r="L14" s="163">
        <v>7</v>
      </c>
    </row>
    <row r="15" spans="1:12" x14ac:dyDescent="0.2">
      <c r="A15" s="160"/>
      <c r="C15" s="151"/>
      <c r="D15" s="169"/>
      <c r="E15" s="169"/>
      <c r="F15" s="148"/>
      <c r="H15" s="155">
        <f t="shared" si="4"/>
        <v>8</v>
      </c>
      <c r="I15" s="156">
        <f t="shared" si="3"/>
        <v>8</v>
      </c>
      <c r="J15" s="157">
        <f t="shared" si="2"/>
        <v>28</v>
      </c>
      <c r="K15" s="162">
        <v>8</v>
      </c>
      <c r="L15" s="163">
        <v>8</v>
      </c>
    </row>
    <row r="16" spans="1:12" x14ac:dyDescent="0.2">
      <c r="A16" s="160"/>
      <c r="C16" s="151"/>
      <c r="D16" s="169"/>
      <c r="E16" s="169"/>
      <c r="F16" s="148"/>
      <c r="H16" s="155">
        <f t="shared" si="4"/>
        <v>9</v>
      </c>
      <c r="I16" s="156">
        <f t="shared" si="3"/>
        <v>18</v>
      </c>
      <c r="J16" s="157">
        <f t="shared" si="2"/>
        <v>31</v>
      </c>
      <c r="K16" s="162">
        <v>9</v>
      </c>
      <c r="L16" s="163">
        <v>18</v>
      </c>
    </row>
    <row r="17" spans="1:12" x14ac:dyDescent="0.2">
      <c r="A17" s="53" t="s">
        <v>53</v>
      </c>
      <c r="B17" s="170" t="str">
        <f>"("&amp;COUNTBLANK(DrawPrep!D3:D34)&amp;")"</f>
        <v>(6)</v>
      </c>
      <c r="C17" s="151"/>
      <c r="D17" s="169"/>
      <c r="E17" s="169"/>
      <c r="F17" s="148"/>
      <c r="H17" s="155">
        <f t="shared" si="4"/>
        <v>10</v>
      </c>
      <c r="I17" s="156">
        <f t="shared" si="3"/>
        <v>9</v>
      </c>
      <c r="J17" s="157">
        <f t="shared" si="2"/>
        <v>33</v>
      </c>
      <c r="K17" s="162">
        <v>10</v>
      </c>
      <c r="L17" s="163">
        <v>9</v>
      </c>
    </row>
    <row r="18" spans="1:12" x14ac:dyDescent="0.2">
      <c r="A18" s="54" t="s">
        <v>27</v>
      </c>
      <c r="B18" s="50">
        <f>COUNTBLANK(DrawPrep!D3:D34)</f>
        <v>6</v>
      </c>
      <c r="C18" s="151"/>
      <c r="D18" s="169"/>
      <c r="E18" s="169"/>
      <c r="F18" s="148"/>
      <c r="H18" s="155">
        <f t="shared" si="4"/>
        <v>11</v>
      </c>
      <c r="I18" s="156">
        <f t="shared" si="3"/>
        <v>10</v>
      </c>
      <c r="J18" s="157">
        <f t="shared" si="2"/>
        <v>36</v>
      </c>
      <c r="K18" s="162">
        <v>11</v>
      </c>
      <c r="L18" s="163">
        <v>10</v>
      </c>
    </row>
    <row r="19" spans="1:12" x14ac:dyDescent="0.2">
      <c r="A19" s="55" t="s">
        <v>32</v>
      </c>
      <c r="B19" s="52">
        <v>8</v>
      </c>
      <c r="C19" s="151"/>
      <c r="D19" s="169"/>
      <c r="E19" s="169"/>
      <c r="F19" s="148"/>
      <c r="H19" s="155">
        <f t="shared" si="4"/>
        <v>12</v>
      </c>
      <c r="I19" s="156">
        <f t="shared" si="3"/>
        <v>26</v>
      </c>
      <c r="J19" s="157">
        <f t="shared" si="2"/>
        <v>39</v>
      </c>
      <c r="K19" s="162">
        <v>12</v>
      </c>
      <c r="L19" s="163">
        <v>26</v>
      </c>
    </row>
    <row r="20" spans="1:12" x14ac:dyDescent="0.2">
      <c r="A20" s="160"/>
      <c r="C20" s="151"/>
      <c r="D20" s="169"/>
      <c r="E20" s="169"/>
      <c r="F20" s="148"/>
      <c r="H20" s="155">
        <f t="shared" si="4"/>
        <v>13</v>
      </c>
      <c r="I20" s="156">
        <f t="shared" si="3"/>
        <v>21</v>
      </c>
      <c r="J20" s="157">
        <f t="shared" si="2"/>
        <v>42</v>
      </c>
      <c r="K20" s="162">
        <v>13</v>
      </c>
      <c r="L20" s="163">
        <v>21</v>
      </c>
    </row>
    <row r="21" spans="1:12" x14ac:dyDescent="0.2">
      <c r="A21" s="160"/>
      <c r="B21" s="171"/>
      <c r="C21" s="151"/>
      <c r="D21" s="169"/>
      <c r="E21" s="169"/>
      <c r="F21" s="148"/>
      <c r="H21" s="155">
        <f t="shared" si="4"/>
        <v>14</v>
      </c>
      <c r="I21" s="156">
        <f t="shared" si="3"/>
        <v>25</v>
      </c>
      <c r="J21" s="157">
        <f t="shared" si="2"/>
        <v>45</v>
      </c>
      <c r="K21" s="162">
        <v>14</v>
      </c>
      <c r="L21" s="163">
        <v>25</v>
      </c>
    </row>
    <row r="22" spans="1:12" x14ac:dyDescent="0.2">
      <c r="A22" s="172"/>
      <c r="B22" s="171"/>
      <c r="C22" s="151"/>
      <c r="D22" s="169"/>
      <c r="E22" s="169"/>
      <c r="F22" s="148"/>
      <c r="H22" s="155">
        <f t="shared" si="4"/>
        <v>15</v>
      </c>
      <c r="I22" s="156">
        <f t="shared" si="3"/>
        <v>20</v>
      </c>
      <c r="J22" s="157">
        <f t="shared" si="2"/>
        <v>48</v>
      </c>
      <c r="K22" s="162">
        <v>15</v>
      </c>
      <c r="L22" s="163">
        <v>20</v>
      </c>
    </row>
    <row r="23" spans="1:12" x14ac:dyDescent="0.2">
      <c r="A23" s="160"/>
      <c r="C23" s="151"/>
      <c r="D23" s="169"/>
      <c r="E23" s="169"/>
      <c r="F23" s="148"/>
      <c r="H23" s="155">
        <f t="shared" si="4"/>
        <v>16</v>
      </c>
      <c r="I23" s="156">
        <f t="shared" si="3"/>
        <v>22</v>
      </c>
      <c r="J23" s="157">
        <f t="shared" si="2"/>
        <v>51</v>
      </c>
      <c r="K23" s="162">
        <v>16</v>
      </c>
      <c r="L23" s="163">
        <v>22</v>
      </c>
    </row>
    <row r="24" spans="1:12" x14ac:dyDescent="0.2">
      <c r="A24" s="160" t="s">
        <v>51</v>
      </c>
      <c r="B24" s="145" t="s">
        <v>182</v>
      </c>
      <c r="C24" s="151"/>
      <c r="D24" s="169"/>
      <c r="E24" s="169"/>
      <c r="F24" s="148"/>
      <c r="H24" s="155">
        <f t="shared" si="4"/>
        <v>17</v>
      </c>
      <c r="I24" s="156">
        <f t="shared" si="3"/>
        <v>12</v>
      </c>
      <c r="J24" s="157">
        <f t="shared" si="2"/>
        <v>54</v>
      </c>
      <c r="K24" s="162">
        <v>17</v>
      </c>
      <c r="L24" s="163">
        <v>12</v>
      </c>
    </row>
    <row r="25" spans="1:12" x14ac:dyDescent="0.2">
      <c r="A25" s="151"/>
      <c r="C25" s="151"/>
      <c r="D25" s="169"/>
      <c r="E25" s="169"/>
      <c r="F25" s="148"/>
      <c r="H25" s="155">
        <f t="shared" si="4"/>
        <v>18</v>
      </c>
      <c r="I25" s="156">
        <f t="shared" si="3"/>
        <v>19</v>
      </c>
      <c r="J25" s="157">
        <f t="shared" si="2"/>
        <v>57</v>
      </c>
      <c r="K25" s="162">
        <v>18</v>
      </c>
      <c r="L25" s="163">
        <v>19</v>
      </c>
    </row>
    <row r="26" spans="1:12" hidden="1" x14ac:dyDescent="0.2">
      <c r="A26" s="173" t="str">
        <f ca="1">RandUniq(3,4,2)</f>
        <v>4 3</v>
      </c>
      <c r="C26" s="151"/>
      <c r="D26" s="169"/>
      <c r="E26" s="169"/>
      <c r="F26" s="148"/>
      <c r="H26" s="155">
        <f t="shared" si="4"/>
        <v>19</v>
      </c>
      <c r="I26" s="156">
        <f t="shared" si="3"/>
        <v>17</v>
      </c>
      <c r="J26" s="157">
        <f t="shared" si="2"/>
        <v>60</v>
      </c>
      <c r="K26" s="162">
        <v>19</v>
      </c>
      <c r="L26" s="163">
        <v>17</v>
      </c>
    </row>
    <row r="27" spans="1:12" hidden="1" x14ac:dyDescent="0.2">
      <c r="A27" s="173" t="str">
        <f ca="1">RandUniq(5,8,4)</f>
        <v>5 6 7 8</v>
      </c>
      <c r="B27" s="151"/>
      <c r="C27" s="151"/>
      <c r="D27" s="169"/>
      <c r="E27" s="169"/>
      <c r="F27" s="148"/>
      <c r="H27" s="155">
        <f t="shared" si="4"/>
        <v>20</v>
      </c>
      <c r="I27" s="156">
        <f t="shared" si="3"/>
        <v>11</v>
      </c>
      <c r="J27" s="157">
        <f t="shared" si="2"/>
        <v>63</v>
      </c>
      <c r="K27" s="162">
        <v>20</v>
      </c>
      <c r="L27" s="163">
        <v>11</v>
      </c>
    </row>
    <row r="28" spans="1:12" hidden="1" x14ac:dyDescent="0.2">
      <c r="A28" s="173"/>
      <c r="B28" s="151"/>
      <c r="C28" s="151"/>
      <c r="D28" s="169"/>
      <c r="E28" s="169"/>
      <c r="F28" s="148"/>
      <c r="H28" s="155">
        <f t="shared" si="4"/>
        <v>21</v>
      </c>
      <c r="I28" s="156">
        <f t="shared" si="3"/>
        <v>15</v>
      </c>
      <c r="J28" s="157">
        <f t="shared" si="2"/>
        <v>66</v>
      </c>
      <c r="K28" s="162">
        <v>21</v>
      </c>
      <c r="L28" s="163">
        <v>15</v>
      </c>
    </row>
    <row r="29" spans="1:12" hidden="1" x14ac:dyDescent="0.2">
      <c r="A29" s="173" t="str">
        <f ca="1">CONCATENATE(LEFT($A$34,$B$18*2),LEFT($A$33,$B$19*2),RandUniq($B$19+1,32-$B$18,32-$B$19-$B$18)," ")</f>
        <v xml:space="preserve">0 0 0 0 0 0 1 2 3 4 5 6 7 8 24 13 22 10 21 16 12 18 15 14 19 9 23 17 20 25 26 11 </v>
      </c>
      <c r="B29" s="151"/>
      <c r="C29" s="151"/>
      <c r="D29" s="169"/>
      <c r="E29" s="169"/>
      <c r="F29" s="148"/>
      <c r="G29" s="148" t="s">
        <v>22</v>
      </c>
      <c r="H29" s="155">
        <f t="shared" si="4"/>
        <v>22</v>
      </c>
      <c r="I29" s="156">
        <f t="shared" si="3"/>
        <v>23</v>
      </c>
      <c r="J29" s="157">
        <f t="shared" si="2"/>
        <v>69</v>
      </c>
      <c r="K29" s="162">
        <v>22</v>
      </c>
      <c r="L29" s="163">
        <v>23</v>
      </c>
    </row>
    <row r="30" spans="1:12" hidden="1" x14ac:dyDescent="0.2">
      <c r="A30" s="173"/>
      <c r="B30" s="151"/>
      <c r="C30" s="151"/>
      <c r="D30" s="169"/>
      <c r="E30" s="169"/>
      <c r="F30" s="148"/>
      <c r="H30" s="155">
        <f t="shared" si="4"/>
        <v>23</v>
      </c>
      <c r="I30" s="156">
        <f t="shared" si="3"/>
        <v>16</v>
      </c>
      <c r="J30" s="157">
        <f t="shared" si="2"/>
        <v>72</v>
      </c>
      <c r="K30" s="162">
        <v>23</v>
      </c>
      <c r="L30" s="163">
        <v>16</v>
      </c>
    </row>
    <row r="31" spans="1:12" hidden="1" x14ac:dyDescent="0.2">
      <c r="A31" s="151"/>
      <c r="B31" s="151"/>
      <c r="C31" s="151" t="s">
        <v>22</v>
      </c>
      <c r="D31" s="169"/>
      <c r="E31" s="169"/>
      <c r="F31" s="148"/>
      <c r="H31" s="155">
        <f t="shared" si="4"/>
        <v>24</v>
      </c>
      <c r="I31" s="156">
        <f t="shared" si="3"/>
        <v>14</v>
      </c>
      <c r="J31" s="157">
        <f t="shared" si="2"/>
        <v>75</v>
      </c>
      <c r="K31" s="162">
        <v>24</v>
      </c>
      <c r="L31" s="163">
        <v>14</v>
      </c>
    </row>
    <row r="32" spans="1:12" hidden="1" x14ac:dyDescent="0.2">
      <c r="A32" s="174" t="s">
        <v>181</v>
      </c>
      <c r="B32" s="175"/>
      <c r="C32" s="176"/>
      <c r="D32" s="148"/>
      <c r="E32" s="148"/>
      <c r="F32" s="148"/>
      <c r="H32" s="155">
        <f t="shared" si="4"/>
        <v>25</v>
      </c>
      <c r="I32" s="156">
        <f t="shared" si="3"/>
        <v>24</v>
      </c>
      <c r="J32" s="157">
        <f t="shared" si="2"/>
        <v>78</v>
      </c>
      <c r="K32" s="162">
        <v>25</v>
      </c>
      <c r="L32" s="163">
        <v>24</v>
      </c>
    </row>
    <row r="33" spans="1:12" hidden="1" x14ac:dyDescent="0.2">
      <c r="A33" s="39" t="s">
        <v>33</v>
      </c>
      <c r="B33" s="151"/>
      <c r="C33" s="151"/>
      <c r="D33" s="169"/>
      <c r="E33" s="169"/>
      <c r="F33" s="148"/>
      <c r="H33" s="177">
        <f t="shared" si="4"/>
        <v>26</v>
      </c>
      <c r="I33" s="178">
        <f t="shared" si="3"/>
        <v>13</v>
      </c>
      <c r="J33" s="179">
        <f t="shared" si="2"/>
        <v>81</v>
      </c>
      <c r="K33" s="180">
        <v>26</v>
      </c>
      <c r="L33" s="181">
        <v>13</v>
      </c>
    </row>
    <row r="34" spans="1:12" hidden="1" x14ac:dyDescent="0.2">
      <c r="A34" s="145" t="s">
        <v>47</v>
      </c>
      <c r="B34" s="151"/>
      <c r="C34" s="151"/>
      <c r="D34" s="169"/>
      <c r="E34" s="169"/>
      <c r="F34" s="148"/>
    </row>
    <row r="35" spans="1:12" x14ac:dyDescent="0.2">
      <c r="A35" s="182"/>
      <c r="C35" s="151"/>
      <c r="D35" s="169"/>
      <c r="E35" s="169"/>
      <c r="F35" s="148"/>
    </row>
    <row r="36" spans="1:12" x14ac:dyDescent="0.2">
      <c r="A36" s="182"/>
      <c r="C36" s="151"/>
      <c r="D36" s="169"/>
      <c r="E36" s="169"/>
      <c r="F36" s="148"/>
    </row>
    <row r="37" spans="1:12" x14ac:dyDescent="0.2">
      <c r="A37" s="183"/>
      <c r="B37" s="184"/>
      <c r="C37" s="151"/>
      <c r="D37" s="169"/>
      <c r="E37" s="169"/>
      <c r="F37" s="148"/>
    </row>
    <row r="38" spans="1:12" x14ac:dyDescent="0.2">
      <c r="B38" s="185"/>
      <c r="C38" s="151"/>
      <c r="D38" s="169"/>
      <c r="E38" s="169"/>
      <c r="F38" s="148"/>
    </row>
    <row r="39" spans="1:12" x14ac:dyDescent="0.2">
      <c r="B39" s="185"/>
      <c r="C39" s="151"/>
      <c r="D39" s="169"/>
      <c r="E39" s="169"/>
      <c r="F39" s="148"/>
    </row>
    <row r="40" spans="1:12" x14ac:dyDescent="0.2">
      <c r="C40" s="151"/>
      <c r="D40" s="169"/>
      <c r="E40" s="169"/>
      <c r="F40" s="148"/>
    </row>
    <row r="41" spans="1:12" x14ac:dyDescent="0.2">
      <c r="C41" s="151"/>
    </row>
    <row r="42" spans="1:12" x14ac:dyDescent="0.2">
      <c r="C42" s="151"/>
    </row>
    <row r="43" spans="1:12" x14ac:dyDescent="0.2">
      <c r="C43" s="151"/>
    </row>
    <row r="44" spans="1:12" x14ac:dyDescent="0.2">
      <c r="C44" s="151"/>
    </row>
    <row r="45" spans="1:12" x14ac:dyDescent="0.2">
      <c r="A45" s="186"/>
      <c r="C45" s="151"/>
    </row>
    <row r="46" spans="1:12" x14ac:dyDescent="0.2">
      <c r="C46" s="151"/>
    </row>
    <row r="47" spans="1:12" x14ac:dyDescent="0.2">
      <c r="C47" s="151"/>
    </row>
    <row r="48" spans="1:12" x14ac:dyDescent="0.2">
      <c r="C48" s="187"/>
      <c r="D48" s="167"/>
      <c r="E48" s="168"/>
    </row>
    <row r="49" spans="3:5" x14ac:dyDescent="0.2">
      <c r="C49" s="187"/>
      <c r="D49" s="167"/>
      <c r="E49" s="168"/>
    </row>
    <row r="50" spans="3:5" x14ac:dyDescent="0.2">
      <c r="C50" s="187"/>
      <c r="D50" s="167"/>
      <c r="E50" s="168"/>
    </row>
    <row r="51" spans="3:5" x14ac:dyDescent="0.2">
      <c r="C51" s="187"/>
      <c r="D51" s="167"/>
      <c r="E51" s="168"/>
    </row>
    <row r="52" spans="3:5" x14ac:dyDescent="0.2">
      <c r="C52" s="187"/>
      <c r="D52" s="167"/>
      <c r="E52" s="168"/>
    </row>
    <row r="53" spans="3:5" x14ac:dyDescent="0.2">
      <c r="C53" s="187"/>
      <c r="D53" s="167"/>
      <c r="E53" s="168"/>
    </row>
    <row r="54" spans="3:5" x14ac:dyDescent="0.2">
      <c r="C54" s="187"/>
      <c r="D54" s="167"/>
      <c r="E54" s="168"/>
    </row>
    <row r="55" spans="3:5" x14ac:dyDescent="0.2">
      <c r="C55" s="187"/>
      <c r="D55" s="167"/>
      <c r="E55" s="168"/>
    </row>
    <row r="56" spans="3:5" x14ac:dyDescent="0.2">
      <c r="C56" s="187"/>
      <c r="D56" s="167"/>
      <c r="E56" s="168"/>
    </row>
    <row r="57" spans="3:5" x14ac:dyDescent="0.2">
      <c r="C57" s="187"/>
      <c r="D57" s="167"/>
      <c r="E57" s="168"/>
    </row>
    <row r="58" spans="3:5" x14ac:dyDescent="0.2">
      <c r="C58" s="187"/>
      <c r="D58" s="167"/>
      <c r="E58" s="168"/>
    </row>
    <row r="59" spans="3:5" x14ac:dyDescent="0.2">
      <c r="C59" s="187"/>
      <c r="D59" s="167"/>
      <c r="E59" s="168"/>
    </row>
    <row r="60" spans="3:5" x14ac:dyDescent="0.2">
      <c r="C60" s="187"/>
      <c r="D60" s="167"/>
      <c r="E60" s="168"/>
    </row>
    <row r="61" spans="3:5" x14ac:dyDescent="0.2">
      <c r="C61" s="187"/>
      <c r="D61" s="167"/>
      <c r="E61" s="168"/>
    </row>
    <row r="62" spans="3:5" x14ac:dyDescent="0.2">
      <c r="C62" s="187"/>
      <c r="D62" s="167"/>
      <c r="E62" s="168"/>
    </row>
    <row r="63" spans="3:5" x14ac:dyDescent="0.2">
      <c r="C63" s="187"/>
      <c r="D63" s="167"/>
      <c r="E63" s="168"/>
    </row>
    <row r="64" spans="3:5" x14ac:dyDescent="0.2">
      <c r="C64" s="187"/>
      <c r="D64" s="167"/>
      <c r="E64" s="168"/>
    </row>
    <row r="65" spans="3:6" x14ac:dyDescent="0.2">
      <c r="C65" s="187"/>
      <c r="D65" s="167"/>
      <c r="E65" s="168"/>
    </row>
    <row r="66" spans="3:6" x14ac:dyDescent="0.2">
      <c r="C66" s="187"/>
      <c r="D66" s="167"/>
      <c r="E66" s="168"/>
    </row>
    <row r="67" spans="3:6" x14ac:dyDescent="0.2">
      <c r="C67" s="187"/>
      <c r="D67" s="167"/>
      <c r="E67" s="168"/>
    </row>
    <row r="68" spans="3:6" x14ac:dyDescent="0.2">
      <c r="C68" s="187"/>
      <c r="D68" s="167"/>
      <c r="E68" s="168"/>
    </row>
    <row r="69" spans="3:6" x14ac:dyDescent="0.2">
      <c r="C69" s="187"/>
      <c r="D69" s="167"/>
      <c r="E69" s="168"/>
    </row>
    <row r="70" spans="3:6" x14ac:dyDescent="0.2">
      <c r="C70" s="187"/>
      <c r="D70" s="167"/>
      <c r="E70" s="168"/>
    </row>
    <row r="71" spans="3:6" x14ac:dyDescent="0.2">
      <c r="C71" s="187"/>
      <c r="D71" s="167"/>
      <c r="E71" s="168"/>
    </row>
    <row r="72" spans="3:6" x14ac:dyDescent="0.2">
      <c r="F72" s="148"/>
    </row>
    <row r="73" spans="3:6" x14ac:dyDescent="0.2">
      <c r="F73" s="148"/>
    </row>
    <row r="74" spans="3:6" x14ac:dyDescent="0.2">
      <c r="F74" s="148"/>
    </row>
    <row r="75" spans="3:6" x14ac:dyDescent="0.2">
      <c r="F75" s="148"/>
    </row>
    <row r="76" spans="3:6" x14ac:dyDescent="0.2">
      <c r="F76" s="148"/>
    </row>
    <row r="77" spans="3:6" x14ac:dyDescent="0.2">
      <c r="F77" s="148"/>
    </row>
    <row r="78" spans="3:6" x14ac:dyDescent="0.2">
      <c r="F78" s="148"/>
    </row>
    <row r="79" spans="3:6" x14ac:dyDescent="0.2">
      <c r="F79" s="148"/>
    </row>
  </sheetData>
  <sheetProtection password="CF33" sheet="1" objects="1" scenarios="1" formatColumns="0" formatRows="0" sort="0"/>
  <mergeCells count="2">
    <mergeCell ref="D2:D3"/>
    <mergeCell ref="D5:D8"/>
  </mergeCells>
  <phoneticPr fontId="1" type="noConversion"/>
  <dataValidations count="1">
    <dataValidation type="list" allowBlank="1" showInputMessage="1" showErrorMessage="1" sqref="B8">
      <formula1>Categories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4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1" sqref="D41"/>
    </sheetView>
  </sheetViews>
  <sheetFormatPr defaultColWidth="8.85546875" defaultRowHeight="12.75" x14ac:dyDescent="0.2"/>
  <cols>
    <col min="1" max="1" width="3.7109375" style="38" bestFit="1" customWidth="1"/>
    <col min="2" max="2" width="4.42578125" style="38" bestFit="1" customWidth="1"/>
    <col min="3" max="3" width="7.7109375" style="38" customWidth="1"/>
    <col min="4" max="4" width="35.7109375" style="36" customWidth="1"/>
    <col min="5" max="5" width="20.7109375" style="39" customWidth="1"/>
    <col min="6" max="6" width="7.140625" style="38" bestFit="1" customWidth="1"/>
    <col min="7" max="8" width="15.7109375" style="36" customWidth="1"/>
    <col min="9" max="9" width="5.7109375" style="36" hidden="1" customWidth="1"/>
    <col min="10" max="10" width="8.85546875" style="36" hidden="1" customWidth="1"/>
    <col min="11" max="16384" width="8.85546875" style="36"/>
  </cols>
  <sheetData>
    <row r="1" spans="1:10" s="29" customFormat="1" ht="19.5" x14ac:dyDescent="0.2">
      <c r="A1" s="106" t="str">
        <f>Setup!$B$3 &amp; ", " &amp; Setup!$B$4 &amp; ", " &amp; Setup!$B$7 &amp; ", " &amp; Setup!$B$9 &amp; "-" &amp; Setup!$B$10</f>
        <v xml:space="preserve">Ζ΄ ΕΝΩΣΗ, 3ο Ε3 2016, Γ.Σ. ΛΙΒΥΚΟΣ ΙΕΡΑΠ., 22-23 Οκτωβρίου </v>
      </c>
      <c r="B1" s="106"/>
      <c r="C1" s="106"/>
      <c r="D1" s="106"/>
      <c r="E1" s="106"/>
      <c r="F1" s="106"/>
      <c r="G1" s="106"/>
      <c r="H1" s="28" t="str">
        <f>Setup!B8</f>
        <v>Α12</v>
      </c>
    </row>
    <row r="2" spans="1:10" s="32" customFormat="1" ht="13.9" customHeight="1" x14ac:dyDescent="0.2">
      <c r="A2" s="321" t="s">
        <v>10</v>
      </c>
      <c r="B2" s="40" t="s">
        <v>21</v>
      </c>
      <c r="C2" s="40" t="s">
        <v>7</v>
      </c>
      <c r="D2" s="40" t="s">
        <v>6</v>
      </c>
      <c r="E2" s="40" t="s">
        <v>9</v>
      </c>
      <c r="F2" s="40" t="s">
        <v>49</v>
      </c>
      <c r="G2" s="40" t="s">
        <v>8</v>
      </c>
      <c r="H2" s="40" t="s">
        <v>50</v>
      </c>
      <c r="I2" s="30" t="s">
        <v>42</v>
      </c>
      <c r="J2" s="31" t="s">
        <v>52</v>
      </c>
    </row>
    <row r="3" spans="1:10" x14ac:dyDescent="0.2">
      <c r="A3" s="33">
        <v>1</v>
      </c>
      <c r="B3" s="303"/>
      <c r="C3" s="304">
        <v>31617</v>
      </c>
      <c r="D3" s="305" t="s">
        <v>147</v>
      </c>
      <c r="E3" s="306" t="s">
        <v>148</v>
      </c>
      <c r="F3" s="336">
        <v>41</v>
      </c>
      <c r="G3" s="307"/>
      <c r="H3" s="307"/>
      <c r="I3" s="35">
        <f t="shared" ref="I3:I34" si="0">IF(D3&gt;" ",F3+J3,0)</f>
        <v>41.002259164629486</v>
      </c>
      <c r="J3" s="31">
        <v>2.2591646294891051E-3</v>
      </c>
    </row>
    <row r="4" spans="1:10" x14ac:dyDescent="0.2">
      <c r="A4" s="33">
        <v>2</v>
      </c>
      <c r="B4" s="303"/>
      <c r="C4" s="304">
        <v>36263</v>
      </c>
      <c r="D4" s="305" t="s">
        <v>149</v>
      </c>
      <c r="E4" s="306" t="s">
        <v>150</v>
      </c>
      <c r="F4" s="336">
        <v>28</v>
      </c>
      <c r="G4" s="308"/>
      <c r="H4" s="307"/>
      <c r="I4" s="35">
        <f t="shared" si="0"/>
        <v>28.001378200434484</v>
      </c>
      <c r="J4" s="31">
        <v>1.3782004344844291E-3</v>
      </c>
    </row>
    <row r="5" spans="1:10" x14ac:dyDescent="0.2">
      <c r="A5" s="33">
        <v>3</v>
      </c>
      <c r="B5" s="303"/>
      <c r="C5" s="304">
        <v>36456</v>
      </c>
      <c r="D5" s="305" t="s">
        <v>151</v>
      </c>
      <c r="E5" s="306" t="s">
        <v>150</v>
      </c>
      <c r="F5" s="336">
        <v>26</v>
      </c>
      <c r="G5" s="307"/>
      <c r="H5" s="307"/>
      <c r="I5" s="35">
        <f t="shared" si="0"/>
        <v>26.002792129153413</v>
      </c>
      <c r="J5" s="31">
        <v>2.7921291534137617E-3</v>
      </c>
    </row>
    <row r="6" spans="1:10" x14ac:dyDescent="0.2">
      <c r="A6" s="33">
        <v>4</v>
      </c>
      <c r="B6" s="303"/>
      <c r="C6" s="304">
        <v>33396</v>
      </c>
      <c r="D6" s="305" t="s">
        <v>152</v>
      </c>
      <c r="E6" s="306" t="s">
        <v>148</v>
      </c>
      <c r="F6" s="336">
        <v>21.5</v>
      </c>
      <c r="G6" s="307"/>
      <c r="H6" s="307"/>
      <c r="I6" s="35">
        <f t="shared" si="0"/>
        <v>21.503772078196633</v>
      </c>
      <c r="J6" s="31">
        <v>3.7720781966312684E-3</v>
      </c>
    </row>
    <row r="7" spans="1:10" x14ac:dyDescent="0.2">
      <c r="A7" s="33">
        <v>5</v>
      </c>
      <c r="B7" s="303"/>
      <c r="C7" s="304">
        <v>37032</v>
      </c>
      <c r="D7" s="305" t="s">
        <v>153</v>
      </c>
      <c r="E7" s="306" t="s">
        <v>148</v>
      </c>
      <c r="F7" s="336">
        <v>19.5</v>
      </c>
      <c r="G7" s="307"/>
      <c r="H7" s="307"/>
      <c r="I7" s="35">
        <f t="shared" si="0"/>
        <v>19.501555645607844</v>
      </c>
      <c r="J7" s="31">
        <v>1.555645607844698E-3</v>
      </c>
    </row>
    <row r="8" spans="1:10" x14ac:dyDescent="0.2">
      <c r="A8" s="33">
        <v>6</v>
      </c>
      <c r="B8" s="303"/>
      <c r="C8" s="304">
        <v>32350</v>
      </c>
      <c r="D8" s="305" t="s">
        <v>154</v>
      </c>
      <c r="E8" s="306" t="s">
        <v>148</v>
      </c>
      <c r="F8" s="336">
        <v>17.5</v>
      </c>
      <c r="G8" s="307"/>
      <c r="H8" s="307"/>
      <c r="I8" s="35">
        <f t="shared" si="0"/>
        <v>17.503670153316296</v>
      </c>
      <c r="J8" s="31">
        <v>3.6701533162968075E-3</v>
      </c>
    </row>
    <row r="9" spans="1:10" x14ac:dyDescent="0.2">
      <c r="A9" s="33">
        <v>7</v>
      </c>
      <c r="B9" s="303"/>
      <c r="C9" s="304">
        <v>37665</v>
      </c>
      <c r="D9" s="305" t="s">
        <v>155</v>
      </c>
      <c r="E9" s="306" t="s">
        <v>148</v>
      </c>
      <c r="F9" s="336">
        <v>17</v>
      </c>
      <c r="G9" s="307"/>
      <c r="H9" s="307"/>
      <c r="I9" s="35">
        <f t="shared" si="0"/>
        <v>17.002871469877714</v>
      </c>
      <c r="J9" s="31">
        <v>2.8714698777152652E-3</v>
      </c>
    </row>
    <row r="10" spans="1:10" x14ac:dyDescent="0.2">
      <c r="A10" s="33">
        <v>8</v>
      </c>
      <c r="B10" s="303"/>
      <c r="C10" s="304">
        <v>35629</v>
      </c>
      <c r="D10" s="305" t="s">
        <v>156</v>
      </c>
      <c r="E10" s="306" t="s">
        <v>157</v>
      </c>
      <c r="F10" s="336">
        <v>14.5</v>
      </c>
      <c r="G10" s="305"/>
      <c r="H10" s="307"/>
      <c r="I10" s="35">
        <f t="shared" si="0"/>
        <v>14.500513296393056</v>
      </c>
      <c r="J10" s="31">
        <v>5.1329639305528992E-4</v>
      </c>
    </row>
    <row r="11" spans="1:10" x14ac:dyDescent="0.2">
      <c r="A11" s="33">
        <v>9</v>
      </c>
      <c r="B11" s="303"/>
      <c r="C11" s="304">
        <v>33295</v>
      </c>
      <c r="D11" s="305" t="s">
        <v>158</v>
      </c>
      <c r="E11" s="306" t="s">
        <v>148</v>
      </c>
      <c r="F11" s="336">
        <v>13</v>
      </c>
      <c r="G11" s="305"/>
      <c r="H11" s="307"/>
      <c r="I11" s="35">
        <f t="shared" si="0"/>
        <v>13.003723098747528</v>
      </c>
      <c r="J11" s="31">
        <v>3.7230987475287761E-3</v>
      </c>
    </row>
    <row r="12" spans="1:10" x14ac:dyDescent="0.2">
      <c r="A12" s="33">
        <v>10</v>
      </c>
      <c r="B12" s="303"/>
      <c r="C12" s="304">
        <v>36550</v>
      </c>
      <c r="D12" s="305" t="s">
        <v>159</v>
      </c>
      <c r="E12" s="306" t="s">
        <v>160</v>
      </c>
      <c r="F12" s="336">
        <v>11</v>
      </c>
      <c r="G12" s="307"/>
      <c r="H12" s="307"/>
      <c r="I12" s="35">
        <f t="shared" si="0"/>
        <v>11.003737290436376</v>
      </c>
      <c r="J12" s="31">
        <v>3.7372904363756395E-3</v>
      </c>
    </row>
    <row r="13" spans="1:10" x14ac:dyDescent="0.2">
      <c r="A13" s="33">
        <v>11</v>
      </c>
      <c r="B13" s="303"/>
      <c r="C13" s="304">
        <v>37669</v>
      </c>
      <c r="D13" s="305" t="s">
        <v>161</v>
      </c>
      <c r="E13" s="306" t="s">
        <v>148</v>
      </c>
      <c r="F13" s="336">
        <v>10.5</v>
      </c>
      <c r="G13" s="309"/>
      <c r="H13" s="307"/>
      <c r="I13" s="35">
        <f t="shared" si="0"/>
        <v>10.50022698813283</v>
      </c>
      <c r="J13" s="31">
        <v>2.2698813283050239E-4</v>
      </c>
    </row>
    <row r="14" spans="1:10" x14ac:dyDescent="0.2">
      <c r="A14" s="33">
        <v>12</v>
      </c>
      <c r="B14" s="303"/>
      <c r="C14" s="304">
        <v>37990</v>
      </c>
      <c r="D14" s="305" t="s">
        <v>162</v>
      </c>
      <c r="E14" s="306" t="s">
        <v>157</v>
      </c>
      <c r="F14" s="336">
        <v>7.5</v>
      </c>
      <c r="G14" s="305"/>
      <c r="H14" s="307"/>
      <c r="I14" s="35">
        <f t="shared" si="0"/>
        <v>7.5013869223427712</v>
      </c>
      <c r="J14" s="31">
        <v>1.386922342771301E-3</v>
      </c>
    </row>
    <row r="15" spans="1:10" x14ac:dyDescent="0.2">
      <c r="A15" s="33">
        <v>13</v>
      </c>
      <c r="B15" s="303"/>
      <c r="C15" s="304">
        <v>37664</v>
      </c>
      <c r="D15" s="305" t="s">
        <v>163</v>
      </c>
      <c r="E15" s="306" t="s">
        <v>148</v>
      </c>
      <c r="F15" s="336">
        <v>7.25</v>
      </c>
      <c r="G15" s="307"/>
      <c r="H15" s="307"/>
      <c r="I15" s="35">
        <f t="shared" si="0"/>
        <v>7.2510703441458517</v>
      </c>
      <c r="J15" s="31">
        <v>1.0703441458513113E-3</v>
      </c>
    </row>
    <row r="16" spans="1:10" x14ac:dyDescent="0.2">
      <c r="A16" s="33">
        <v>14</v>
      </c>
      <c r="B16" s="303"/>
      <c r="C16" s="304">
        <v>33985</v>
      </c>
      <c r="D16" s="305" t="s">
        <v>164</v>
      </c>
      <c r="E16" s="306" t="s">
        <v>165</v>
      </c>
      <c r="F16" s="336">
        <v>5</v>
      </c>
      <c r="G16" s="359"/>
      <c r="H16" s="307"/>
      <c r="I16" s="35">
        <f t="shared" si="0"/>
        <v>5.0031120555962474</v>
      </c>
      <c r="J16" s="31">
        <v>3.1120555962469614E-3</v>
      </c>
    </row>
    <row r="17" spans="1:10" x14ac:dyDescent="0.2">
      <c r="A17" s="33">
        <v>15</v>
      </c>
      <c r="B17" s="303"/>
      <c r="C17" s="304">
        <v>37471</v>
      </c>
      <c r="D17" s="305" t="s">
        <v>166</v>
      </c>
      <c r="E17" s="306" t="s">
        <v>167</v>
      </c>
      <c r="F17" s="336">
        <v>2.5</v>
      </c>
      <c r="G17" s="359"/>
      <c r="H17" s="307"/>
      <c r="I17" s="35">
        <f t="shared" si="0"/>
        <v>2.5033576960221438</v>
      </c>
      <c r="J17" s="31">
        <v>3.357696022143745E-3</v>
      </c>
    </row>
    <row r="18" spans="1:10" x14ac:dyDescent="0.2">
      <c r="A18" s="33">
        <v>16</v>
      </c>
      <c r="B18" s="303"/>
      <c r="C18" s="304">
        <v>38697</v>
      </c>
      <c r="D18" s="305" t="s">
        <v>168</v>
      </c>
      <c r="E18" s="306" t="s">
        <v>150</v>
      </c>
      <c r="F18" s="336">
        <v>2</v>
      </c>
      <c r="G18" s="307"/>
      <c r="H18" s="307"/>
      <c r="I18" s="35">
        <f t="shared" si="0"/>
        <v>2.0005722843110125</v>
      </c>
      <c r="J18" s="31">
        <v>5.722843110124925E-4</v>
      </c>
    </row>
    <row r="19" spans="1:10" x14ac:dyDescent="0.2">
      <c r="A19" s="33">
        <v>17</v>
      </c>
      <c r="B19" s="303"/>
      <c r="C19" s="304">
        <v>33835</v>
      </c>
      <c r="D19" s="305" t="s">
        <v>169</v>
      </c>
      <c r="E19" s="306" t="s">
        <v>165</v>
      </c>
      <c r="F19" s="336">
        <v>1.5</v>
      </c>
      <c r="G19" s="359"/>
      <c r="H19" s="307"/>
      <c r="I19" s="35">
        <f t="shared" si="0"/>
        <v>1.5008721719894031</v>
      </c>
      <c r="J19" s="31">
        <v>8.7217198940307264E-4</v>
      </c>
    </row>
    <row r="20" spans="1:10" x14ac:dyDescent="0.2">
      <c r="A20" s="33">
        <v>18</v>
      </c>
      <c r="B20" s="303"/>
      <c r="C20" s="304">
        <v>37805</v>
      </c>
      <c r="D20" s="305" t="s">
        <v>170</v>
      </c>
      <c r="E20" s="306" t="s">
        <v>150</v>
      </c>
      <c r="F20" s="336">
        <v>1</v>
      </c>
      <c r="G20" s="307"/>
      <c r="H20" s="307"/>
      <c r="I20" s="35">
        <f t="shared" si="0"/>
        <v>1.0005531534998708</v>
      </c>
      <c r="J20" s="31">
        <v>5.5315349987074584E-4</v>
      </c>
    </row>
    <row r="21" spans="1:10" x14ac:dyDescent="0.2">
      <c r="A21" s="33">
        <v>19</v>
      </c>
      <c r="B21" s="303"/>
      <c r="C21" s="304">
        <v>37562</v>
      </c>
      <c r="D21" s="305" t="s">
        <v>176</v>
      </c>
      <c r="E21" s="306" t="s">
        <v>148</v>
      </c>
      <c r="F21" s="336">
        <v>0</v>
      </c>
      <c r="G21" s="307"/>
      <c r="H21" s="307"/>
      <c r="I21" s="35">
        <f t="shared" si="0"/>
        <v>3.9756754636710969E-3</v>
      </c>
      <c r="J21" s="31">
        <v>3.9756754636710969E-3</v>
      </c>
    </row>
    <row r="22" spans="1:10" x14ac:dyDescent="0.2">
      <c r="A22" s="33">
        <v>20</v>
      </c>
      <c r="B22" s="303"/>
      <c r="C22" s="304">
        <v>37801</v>
      </c>
      <c r="D22" s="305" t="s">
        <v>174</v>
      </c>
      <c r="E22" s="306" t="s">
        <v>150</v>
      </c>
      <c r="F22" s="336">
        <v>0</v>
      </c>
      <c r="G22" s="307"/>
      <c r="H22" s="307"/>
      <c r="I22" s="35">
        <f t="shared" si="0"/>
        <v>2.6259899448252059E-3</v>
      </c>
      <c r="J22" s="31">
        <v>2.6259899448252059E-3</v>
      </c>
    </row>
    <row r="23" spans="1:10" x14ac:dyDescent="0.2">
      <c r="A23" s="33">
        <v>21</v>
      </c>
      <c r="B23" s="303"/>
      <c r="C23" s="304">
        <v>38042</v>
      </c>
      <c r="D23" s="305" t="s">
        <v>171</v>
      </c>
      <c r="E23" s="306" t="s">
        <v>150</v>
      </c>
      <c r="F23" s="336">
        <v>0</v>
      </c>
      <c r="G23" s="307"/>
      <c r="H23" s="307"/>
      <c r="I23" s="35">
        <f t="shared" si="0"/>
        <v>2.3190634468682509E-3</v>
      </c>
      <c r="J23" s="31">
        <v>2.3190634468682509E-3</v>
      </c>
    </row>
    <row r="24" spans="1:10" x14ac:dyDescent="0.2">
      <c r="A24" s="33">
        <v>22</v>
      </c>
      <c r="B24" s="303"/>
      <c r="C24" s="304">
        <v>37800</v>
      </c>
      <c r="D24" s="305" t="s">
        <v>175</v>
      </c>
      <c r="E24" s="306" t="s">
        <v>150</v>
      </c>
      <c r="F24" s="336">
        <v>0</v>
      </c>
      <c r="G24" s="307"/>
      <c r="H24" s="307"/>
      <c r="I24" s="35">
        <f t="shared" si="0"/>
        <v>2.2388702272682242E-3</v>
      </c>
      <c r="J24" s="31">
        <v>2.2388702272682242E-3</v>
      </c>
    </row>
    <row r="25" spans="1:10" x14ac:dyDescent="0.2">
      <c r="A25" s="33">
        <v>23</v>
      </c>
      <c r="B25" s="303"/>
      <c r="C25" s="304">
        <v>38017</v>
      </c>
      <c r="D25" s="305" t="s">
        <v>172</v>
      </c>
      <c r="E25" s="306" t="s">
        <v>150</v>
      </c>
      <c r="F25" s="336">
        <v>0</v>
      </c>
      <c r="G25" s="307"/>
      <c r="H25" s="307"/>
      <c r="I25" s="35">
        <f t="shared" si="0"/>
        <v>2.0073761189277777E-3</v>
      </c>
      <c r="J25" s="31">
        <v>2.0073761189277777E-3</v>
      </c>
    </row>
    <row r="26" spans="1:10" x14ac:dyDescent="0.2">
      <c r="A26" s="33">
        <v>24</v>
      </c>
      <c r="B26" s="303"/>
      <c r="C26" s="304">
        <v>36616</v>
      </c>
      <c r="D26" s="305" t="s">
        <v>178</v>
      </c>
      <c r="E26" s="306" t="s">
        <v>160</v>
      </c>
      <c r="F26" s="336">
        <v>0</v>
      </c>
      <c r="G26" s="307"/>
      <c r="H26" s="307"/>
      <c r="I26" s="35">
        <f t="shared" si="0"/>
        <v>1.7765977383821226E-3</v>
      </c>
      <c r="J26" s="31">
        <v>1.7765977383821226E-3</v>
      </c>
    </row>
    <row r="27" spans="1:10" x14ac:dyDescent="0.2">
      <c r="A27" s="33">
        <v>25</v>
      </c>
      <c r="B27" s="303"/>
      <c r="C27" s="304">
        <v>37803</v>
      </c>
      <c r="D27" s="305" t="s">
        <v>173</v>
      </c>
      <c r="E27" s="306" t="s">
        <v>150</v>
      </c>
      <c r="F27" s="336">
        <v>0</v>
      </c>
      <c r="G27" s="307"/>
      <c r="H27" s="307"/>
      <c r="I27" s="35">
        <f t="shared" si="0"/>
        <v>1.6368810726075556E-3</v>
      </c>
      <c r="J27" s="31">
        <v>1.6368810726075556E-3</v>
      </c>
    </row>
    <row r="28" spans="1:10" x14ac:dyDescent="0.2">
      <c r="A28" s="33">
        <v>26</v>
      </c>
      <c r="B28" s="303"/>
      <c r="C28" s="304">
        <v>37561</v>
      </c>
      <c r="D28" s="305" t="s">
        <v>177</v>
      </c>
      <c r="E28" s="306" t="s">
        <v>148</v>
      </c>
      <c r="F28" s="336">
        <v>0</v>
      </c>
      <c r="G28" s="307"/>
      <c r="H28" s="307"/>
      <c r="I28" s="35">
        <f t="shared" si="0"/>
        <v>7.9731975291604982E-4</v>
      </c>
      <c r="J28" s="31">
        <v>7.9731975291604982E-4</v>
      </c>
    </row>
    <row r="29" spans="1:10" x14ac:dyDescent="0.2">
      <c r="A29" s="33">
        <v>27</v>
      </c>
      <c r="B29" s="303"/>
      <c r="C29" s="304"/>
      <c r="D29" s="305"/>
      <c r="E29" s="306"/>
      <c r="F29" s="336"/>
      <c r="G29" s="307"/>
      <c r="H29" s="307"/>
      <c r="I29" s="35">
        <f t="shared" si="0"/>
        <v>0</v>
      </c>
      <c r="J29" s="31">
        <v>4.2857185400005658E-4</v>
      </c>
    </row>
    <row r="30" spans="1:10" x14ac:dyDescent="0.2">
      <c r="A30" s="33">
        <v>28</v>
      </c>
      <c r="B30" s="303"/>
      <c r="C30" s="304"/>
      <c r="D30" s="305"/>
      <c r="E30" s="306"/>
      <c r="F30" s="336"/>
      <c r="G30" s="307"/>
      <c r="H30" s="307"/>
      <c r="I30" s="35">
        <f t="shared" si="0"/>
        <v>0</v>
      </c>
      <c r="J30" s="31">
        <v>1.2625026270289661E-3</v>
      </c>
    </row>
    <row r="31" spans="1:10" x14ac:dyDescent="0.2">
      <c r="A31" s="33">
        <v>29</v>
      </c>
      <c r="B31" s="303"/>
      <c r="C31" s="310"/>
      <c r="D31" s="311"/>
      <c r="E31" s="311"/>
      <c r="F31" s="337"/>
      <c r="G31" s="307"/>
      <c r="H31" s="307"/>
      <c r="I31" s="35">
        <f t="shared" si="0"/>
        <v>0</v>
      </c>
      <c r="J31" s="31">
        <v>3.1044096754783953E-3</v>
      </c>
    </row>
    <row r="32" spans="1:10" x14ac:dyDescent="0.2">
      <c r="A32" s="33">
        <v>30</v>
      </c>
      <c r="B32" s="303"/>
      <c r="C32" s="310"/>
      <c r="D32" s="311"/>
      <c r="E32" s="311"/>
      <c r="F32" s="337"/>
      <c r="G32" s="307"/>
      <c r="H32" s="307"/>
      <c r="I32" s="35">
        <f t="shared" si="0"/>
        <v>0</v>
      </c>
      <c r="J32" s="31">
        <v>2.6234777040750365E-4</v>
      </c>
    </row>
    <row r="33" spans="1:10" x14ac:dyDescent="0.2">
      <c r="A33" s="33">
        <v>31</v>
      </c>
      <c r="B33" s="303"/>
      <c r="C33" s="310"/>
      <c r="D33" s="311"/>
      <c r="E33" s="311"/>
      <c r="F33" s="337"/>
      <c r="G33" s="359"/>
      <c r="H33" s="307"/>
      <c r="I33" s="35">
        <f t="shared" si="0"/>
        <v>0</v>
      </c>
      <c r="J33" s="31">
        <v>2.8952059832042252E-3</v>
      </c>
    </row>
    <row r="34" spans="1:10" x14ac:dyDescent="0.2">
      <c r="A34" s="33">
        <v>32</v>
      </c>
      <c r="B34" s="303"/>
      <c r="C34" s="310"/>
      <c r="D34" s="311"/>
      <c r="E34" s="311"/>
      <c r="F34" s="337"/>
      <c r="G34" s="307"/>
      <c r="H34" s="307"/>
      <c r="I34" s="35">
        <f t="shared" si="0"/>
        <v>0</v>
      </c>
      <c r="J34" s="31">
        <v>2.5870982399284021E-3</v>
      </c>
    </row>
    <row r="35" spans="1:10" x14ac:dyDescent="0.2">
      <c r="I35" s="30"/>
    </row>
    <row r="36" spans="1:10" x14ac:dyDescent="0.2">
      <c r="I36" s="30"/>
    </row>
    <row r="37" spans="1:10" x14ac:dyDescent="0.2">
      <c r="B37" s="374" t="s">
        <v>43</v>
      </c>
      <c r="C37" s="374"/>
      <c r="D37" s="374"/>
      <c r="E37" s="41" t="s">
        <v>44</v>
      </c>
      <c r="H37" s="42" t="s">
        <v>37</v>
      </c>
    </row>
    <row r="38" spans="1:10" x14ac:dyDescent="0.2">
      <c r="B38" s="40" t="s">
        <v>10</v>
      </c>
      <c r="C38" s="40" t="s">
        <v>7</v>
      </c>
      <c r="D38" s="40" t="s">
        <v>6</v>
      </c>
      <c r="E38" s="43" t="s">
        <v>45</v>
      </c>
      <c r="H38" s="44" t="str">
        <f>Setup!$B$11</f>
        <v>Κ. Χατζηδάκης</v>
      </c>
    </row>
    <row r="39" spans="1:10" x14ac:dyDescent="0.2">
      <c r="B39" s="45">
        <v>1</v>
      </c>
      <c r="C39" s="303">
        <v>37862</v>
      </c>
      <c r="D39" s="307" t="s">
        <v>255</v>
      </c>
      <c r="E39" s="303" t="s">
        <v>256</v>
      </c>
    </row>
    <row r="40" spans="1:10" x14ac:dyDescent="0.2">
      <c r="B40" s="45">
        <v>2</v>
      </c>
      <c r="C40" s="303"/>
      <c r="D40" s="307"/>
      <c r="E40" s="303"/>
    </row>
    <row r="41" spans="1:10" x14ac:dyDescent="0.2">
      <c r="B41" s="45">
        <v>3</v>
      </c>
      <c r="C41" s="303"/>
      <c r="D41" s="307"/>
      <c r="E41" s="303"/>
    </row>
    <row r="42" spans="1:10" x14ac:dyDescent="0.2">
      <c r="B42" s="45">
        <v>4</v>
      </c>
      <c r="C42" s="303"/>
      <c r="D42" s="307"/>
      <c r="E42" s="303"/>
      <c r="H42" s="46"/>
    </row>
    <row r="43" spans="1:10" x14ac:dyDescent="0.2">
      <c r="B43" s="45">
        <v>5</v>
      </c>
      <c r="C43" s="303"/>
      <c r="D43" s="307"/>
      <c r="E43" s="303"/>
    </row>
  </sheetData>
  <sheetProtection password="CF33" sheet="1" objects="1" scenarios="1" formatColumns="0" formatRows="0" sort="0"/>
  <sortState ref="B3:J34">
    <sortCondition descending="1" ref="I3:I34"/>
  </sortState>
  <mergeCells count="1">
    <mergeCell ref="B37:D37"/>
  </mergeCells>
  <phoneticPr fontId="1" type="noConversion"/>
  <conditionalFormatting sqref="D23:D28">
    <cfRule type="expression" dxfId="7" priority="3" stopIfTrue="1">
      <formula>AND(#REF!&lt;9,#REF!&gt;0)</formula>
    </cfRule>
  </conditionalFormatting>
  <conditionalFormatting sqref="F3:F28">
    <cfRule type="cellIs" dxfId="6" priority="6" stopIfTrue="1" operator="equal">
      <formula>"QA"</formula>
    </cfRule>
    <cfRule type="cellIs" dxfId="5" priority="7" stopIfTrue="1" operator="equal">
      <formula>"DA"</formula>
    </cfRule>
  </conditionalFormatting>
  <conditionalFormatting sqref="F29:F34">
    <cfRule type="cellIs" dxfId="4" priority="4" stopIfTrue="1" operator="equal">
      <formula>"QA"</formula>
    </cfRule>
    <cfRule type="cellIs" dxfId="3" priority="5" stopIfTrue="1" operator="equal">
      <formula>"DA"</formula>
    </cfRule>
  </conditionalFormatting>
  <conditionalFormatting sqref="D29:D34">
    <cfRule type="expression" dxfId="2" priority="2" stopIfTrue="1">
      <formula>AND(#REF!&lt;9,#REF!&gt;0)</formula>
    </cfRule>
  </conditionalFormatting>
  <conditionalFormatting sqref="D3:D22">
    <cfRule type="expression" dxfId="1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 sizeWithCells="1">
                  <from>
                    <xdr:col>11</xdr:col>
                    <xdr:colOff>66675</xdr:colOff>
                    <xdr:row>5</xdr:row>
                    <xdr:rowOff>19050</xdr:rowOff>
                  </from>
                  <to>
                    <xdr:col>12</xdr:col>
                    <xdr:colOff>123825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 sizeWithCells="1">
                  <from>
                    <xdr:col>11</xdr:col>
                    <xdr:colOff>38100</xdr:colOff>
                    <xdr:row>8</xdr:row>
                    <xdr:rowOff>19050</xdr:rowOff>
                  </from>
                  <to>
                    <xdr:col>12</xdr:col>
                    <xdr:colOff>523875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E74"/>
  <sheetViews>
    <sheetView showGridLines="0" showZeros="0" tabSelected="1" zoomScaleNormal="100" workbookViewId="0">
      <pane ySplit="1" topLeftCell="A2" activePane="bottomLeft" state="frozen"/>
      <selection pane="bottomLeft" activeCell="M5" sqref="M5"/>
    </sheetView>
  </sheetViews>
  <sheetFormatPr defaultColWidth="8.85546875" defaultRowHeight="10.5" x14ac:dyDescent="0.2"/>
  <cols>
    <col min="1" max="1" width="3.140625" style="68" bestFit="1" customWidth="1"/>
    <col min="2" max="2" width="2.7109375" style="68" hidden="1" customWidth="1"/>
    <col min="3" max="3" width="6.28515625" style="71" hidden="1" customWidth="1"/>
    <col min="4" max="4" width="5.7109375" style="72" hidden="1" customWidth="1"/>
    <col min="5" max="5" width="5" style="72" hidden="1" customWidth="1"/>
    <col min="6" max="6" width="3" style="68" customWidth="1"/>
    <col min="7" max="7" width="3.7109375" style="71" bestFit="1" customWidth="1"/>
    <col min="8" max="8" width="5.7109375" style="323" customWidth="1"/>
    <col min="9" max="9" width="6.7109375" style="73" customWidth="1"/>
    <col min="10" max="10" width="25.7109375" style="68" customWidth="1"/>
    <col min="11" max="11" width="13.28515625" style="68" hidden="1" customWidth="1"/>
    <col min="12" max="12" width="20.7109375" style="68" customWidth="1"/>
    <col min="13" max="13" width="1.42578125" style="89" bestFit="1" customWidth="1"/>
    <col min="14" max="14" width="5.7109375" style="71" hidden="1" customWidth="1"/>
    <col min="15" max="15" width="15.7109375" style="68" customWidth="1"/>
    <col min="16" max="16" width="1.42578125" style="86" bestFit="1" customWidth="1"/>
    <col min="17" max="17" width="5.7109375" style="68" hidden="1" customWidth="1"/>
    <col min="18" max="18" width="14.7109375" style="68" customWidth="1"/>
    <col min="19" max="19" width="1.42578125" style="86" bestFit="1" customWidth="1"/>
    <col min="20" max="20" width="5.7109375" style="68" hidden="1" customWidth="1"/>
    <col min="21" max="21" width="14.7109375" style="70" customWidth="1"/>
    <col min="22" max="22" width="1.42578125" style="85" bestFit="1" customWidth="1"/>
    <col min="23" max="23" width="5.7109375" style="70" hidden="1" customWidth="1"/>
    <col min="24" max="24" width="14.7109375" style="70" customWidth="1"/>
    <col min="25" max="25" width="8.85546875" style="70"/>
    <col min="26" max="16384" width="8.85546875" style="68"/>
  </cols>
  <sheetData>
    <row r="1" spans="1:31" s="64" customFormat="1" ht="18" x14ac:dyDescent="0.2">
      <c r="A1" s="375" t="str">
        <f>Setup!B3 &amp; ", " &amp; Setup!B4 &amp; ", " &amp; Setup!B7 &amp; ", " &amp; Setup!B9 &amp; "-" &amp; Setup!B10</f>
        <v xml:space="preserve">Ζ΄ ΕΝΩΣΗ, 3ο Ε3 2016, Γ.Σ. ΛΙΒΥΚΟΣ ΙΕΡΑΠ., 22-23 Οκτωβρίου 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61"/>
      <c r="W1" s="131"/>
      <c r="X1" s="62" t="str">
        <f>Setup!B8</f>
        <v>Α12</v>
      </c>
      <c r="Y1" s="63"/>
    </row>
    <row r="2" spans="1:31" x14ac:dyDescent="0.2">
      <c r="A2" s="65"/>
      <c r="B2" s="66">
        <f>Setup!B18</f>
        <v>6</v>
      </c>
      <c r="C2" s="66"/>
      <c r="D2" s="67"/>
      <c r="E2" s="67"/>
      <c r="G2" s="69"/>
      <c r="H2" s="322"/>
      <c r="I2" s="69"/>
      <c r="J2" s="69"/>
      <c r="K2" s="69"/>
      <c r="L2" s="69"/>
      <c r="M2" s="69"/>
      <c r="N2" s="57"/>
      <c r="O2" s="69"/>
      <c r="P2" s="69"/>
      <c r="Q2" s="57"/>
      <c r="R2" s="69"/>
      <c r="S2" s="69"/>
      <c r="T2" s="57"/>
      <c r="U2" s="69"/>
      <c r="V2" s="69"/>
      <c r="W2" s="57"/>
      <c r="X2" s="69"/>
      <c r="AE2" s="107"/>
    </row>
    <row r="3" spans="1:31" x14ac:dyDescent="0.2">
      <c r="J3" s="376">
        <v>32</v>
      </c>
      <c r="K3" s="376"/>
      <c r="L3" s="376"/>
      <c r="M3" s="74"/>
      <c r="N3" s="127"/>
      <c r="O3" s="75">
        <v>16</v>
      </c>
      <c r="P3" s="76"/>
      <c r="Q3" s="127"/>
      <c r="R3" s="77">
        <v>8</v>
      </c>
      <c r="S3" s="78"/>
      <c r="T3" s="77"/>
      <c r="U3" s="77">
        <v>4</v>
      </c>
      <c r="V3" s="78"/>
      <c r="W3" s="77"/>
      <c r="X3" s="77" t="s">
        <v>38</v>
      </c>
      <c r="AE3" s="107"/>
    </row>
    <row r="4" spans="1:31" s="71" customFormat="1" x14ac:dyDescent="0.2">
      <c r="A4" s="79" t="s">
        <v>10</v>
      </c>
      <c r="B4" s="80"/>
      <c r="C4" s="81" t="s">
        <v>25</v>
      </c>
      <c r="D4" s="81" t="s">
        <v>34</v>
      </c>
      <c r="E4" s="81" t="s">
        <v>35</v>
      </c>
      <c r="F4" s="79" t="s">
        <v>21</v>
      </c>
      <c r="G4" s="79" t="s">
        <v>11</v>
      </c>
      <c r="H4" s="324" t="s">
        <v>46</v>
      </c>
      <c r="I4" s="79" t="s">
        <v>7</v>
      </c>
      <c r="J4" s="82" t="s">
        <v>6</v>
      </c>
      <c r="K4" s="81" t="s">
        <v>29</v>
      </c>
      <c r="L4" s="82" t="s">
        <v>9</v>
      </c>
      <c r="M4" s="83"/>
      <c r="N4" s="57"/>
      <c r="P4" s="84"/>
      <c r="S4" s="84"/>
      <c r="U4" s="57"/>
      <c r="V4" s="66"/>
      <c r="W4" s="57"/>
      <c r="X4" s="57"/>
      <c r="Y4" s="57"/>
      <c r="AE4" s="107"/>
    </row>
    <row r="5" spans="1:31" ht="12" customHeight="1" x14ac:dyDescent="0.2">
      <c r="A5" s="220">
        <v>1</v>
      </c>
      <c r="B5" s="221">
        <v>1</v>
      </c>
      <c r="C5" s="222"/>
      <c r="D5" s="223"/>
      <c r="E5" s="224">
        <v>0</v>
      </c>
      <c r="F5" s="225">
        <f>IF(NOT($G5="-"),VLOOKUP($G5,DrawPrep!$A$3:$F$34,2,FALSE),"")</f>
        <v>0</v>
      </c>
      <c r="G5" s="226">
        <f>VLOOKUP($B5,Setup!$K$2:$L$33,2,FALSE)</f>
        <v>1</v>
      </c>
      <c r="H5" s="325">
        <f>IF($G5&gt;0,VLOOKUP($G5,DrawPrep!$A$3:$F$34,6,FALSE),0)</f>
        <v>41</v>
      </c>
      <c r="I5" s="228">
        <f>IF(Setup!$B$24="#",0,IF($G5&gt;0,VLOOKUP($G5,DrawPrep!$A$3:$F$34,3,FALSE),0))</f>
        <v>31617</v>
      </c>
      <c r="J5" s="229" t="str">
        <f>IF($I5&gt;0,VLOOKUP($I5,DrawPrep!$C$3:$F$34,2,FALSE),"bye")</f>
        <v>ΜΑΤΣΑΜΑΚΗΣ ΕΛΕΥΘΕΡΙΟΣ</v>
      </c>
      <c r="K5" s="230" t="str">
        <f>IF(NOT(I5&gt;0),"", IF(ISERROR(FIND("-",J5)), LEFT(J5,FIND(" ",J5)-1), IF(FIND("-",J5)&gt;FIND(" ",J5),LEFT(J5,FIND(" ",J5)-1), LEFT(J5,FIND("-",J5)-1) )))</f>
        <v>ΜΑΤΣΑΜΑΚΗΣ</v>
      </c>
      <c r="L5" s="231" t="str">
        <f>IF($I5&gt;0,VLOOKUP($I5,DrawPrep!$C$3:$F$34,3,FALSE),"")</f>
        <v>Ο.Α.ΧΑΝΙΩΝ</v>
      </c>
      <c r="M5" s="312">
        <v>1</v>
      </c>
      <c r="N5" s="361">
        <f>IF((OR(M5=1,M5=2)),IF(M5=1,I5,I6),"")</f>
        <v>31617</v>
      </c>
      <c r="O5" s="233" t="str">
        <f>UPPER(IF($A$2="R",IF(OR(M5=1,M5="a"),I5,IF(OR(M5=2,M5="b"),I6,"")),IF(OR(M5=1,M5="1"),K5,IF(OR(M5=2,M5="b"),K6,""))))</f>
        <v>ΜΑΤΣΑΜΑΚΗΣ</v>
      </c>
      <c r="P5" s="313"/>
      <c r="Q5" s="234"/>
      <c r="R5" s="234"/>
      <c r="S5" s="314"/>
      <c r="T5" s="259"/>
      <c r="U5" s="234"/>
      <c r="V5" s="313"/>
      <c r="W5" s="234"/>
      <c r="X5" s="234"/>
      <c r="AE5" s="107"/>
    </row>
    <row r="6" spans="1:31" ht="12" customHeight="1" x14ac:dyDescent="0.2">
      <c r="A6" s="235">
        <v>2</v>
      </c>
      <c r="B6" s="236">
        <f>1-D6+8</f>
        <v>8</v>
      </c>
      <c r="C6" s="237">
        <f>B5</f>
        <v>1</v>
      </c>
      <c r="D6" s="238">
        <f>E6</f>
        <v>1</v>
      </c>
      <c r="E6" s="239">
        <f>IF($B$2&gt;=C6,1,0)</f>
        <v>1</v>
      </c>
      <c r="F6" s="232" t="str">
        <f>IF(NOT($G6="-"),VLOOKUP($G6,DrawPrep!$A$3:$F$34,2,FALSE),"")</f>
        <v/>
      </c>
      <c r="G6" s="232" t="str">
        <f>IF($B$2&gt;=C6,"-",VLOOKUP($B6,Setup!$K$2:$L$33,2,FALSE))</f>
        <v>-</v>
      </c>
      <c r="H6" s="326">
        <f>IF(NOT($G6="-"),VLOOKUP($G6,DrawPrep!$A$3:$F$34,6,FALSE),0)</f>
        <v>0</v>
      </c>
      <c r="I6" s="240">
        <f>IF(Setup!$B$24="#",0,IF(NOT($G6="-"),VLOOKUP($G6,DrawPrep!$A$3:$F$34,3,FALSE),0))</f>
        <v>0</v>
      </c>
      <c r="J6" s="241" t="str">
        <f>IF($I6&gt;0,VLOOKUP($I6,DrawPrep!$C$3:$F$34,2,FALSE),"bye")</f>
        <v>bye</v>
      </c>
      <c r="K6" s="233" t="str">
        <f t="shared" ref="K6:K36" si="0">IF(NOT(I6&gt;0),"", IF(ISERROR(FIND("-",J6)), LEFT(J6,FIND(" ",J6)-1), IF(FIND("-",J6)&gt;FIND(" ",J6),LEFT(J6,FIND(" ",J6)-1), LEFT(J6,FIND("-",J6)-1) )))</f>
        <v/>
      </c>
      <c r="L6" s="242" t="str">
        <f>IF($I6&gt;0,VLOOKUP($I6,DrawPrep!$C$3:$F$34,3,FALSE),"")</f>
        <v/>
      </c>
      <c r="M6" s="315"/>
      <c r="N6" s="264"/>
      <c r="O6" s="243"/>
      <c r="P6" s="312">
        <v>1</v>
      </c>
      <c r="Q6" s="361">
        <f>IF((OR(P6=1,P6=2)),IF(P6=1,N5,N7),"")</f>
        <v>31617</v>
      </c>
      <c r="R6" s="233" t="str">
        <f>UPPER(IF($A$2="R",IF(OR(P6=1,P6="a"),O5,IF(OR(P6=2,P6="b"),O7,"")),IF(OR(P6=1,P6="a"),O5,IF(OR(P6=2,P6="b"),O7,""))))</f>
        <v>ΜΑΤΣΑΜΑΚΗΣ</v>
      </c>
      <c r="S6" s="313"/>
      <c r="T6" s="234"/>
      <c r="U6" s="234"/>
      <c r="V6" s="313"/>
      <c r="W6" s="234"/>
      <c r="X6" s="234"/>
    </row>
    <row r="7" spans="1:31" ht="12" customHeight="1" x14ac:dyDescent="0.2">
      <c r="A7" s="244">
        <v>3</v>
      </c>
      <c r="B7" s="236">
        <f>2-D7+8</f>
        <v>9</v>
      </c>
      <c r="C7" s="245"/>
      <c r="D7" s="238">
        <f>D6+E7</f>
        <v>1</v>
      </c>
      <c r="E7" s="246">
        <v>0</v>
      </c>
      <c r="F7" s="247">
        <f>IF(NOT($G7="-"),VLOOKUP($G7,DrawPrep!$A$3:$F$34,2,FALSE),"")</f>
        <v>0</v>
      </c>
      <c r="G7" s="247">
        <f>VLOOKUP($B7,Setup!$K$2:$L$33,2,FALSE)</f>
        <v>18</v>
      </c>
      <c r="H7" s="327">
        <f>IF($G7&gt;0,VLOOKUP($G7,DrawPrep!$A$3:$F$34,6,FALSE),0)</f>
        <v>1</v>
      </c>
      <c r="I7" s="248">
        <f>IF(Setup!$B$24="#",0,IF($G7&gt;0,VLOOKUP($G7,DrawPrep!$A$3:$F$34,3,FALSE),0))</f>
        <v>37805</v>
      </c>
      <c r="J7" s="249" t="str">
        <f>IF($I7&gt;0,VLOOKUP($I7,DrawPrep!$C$3:$F$34,2,FALSE),"bye")</f>
        <v>ΚΩΣΤΑΚΗΣ ΕΜΜΑΝΟΥΗΛ</v>
      </c>
      <c r="K7" s="250" t="str">
        <f t="shared" si="0"/>
        <v>ΚΩΣΤΑΚΗΣ</v>
      </c>
      <c r="L7" s="251" t="str">
        <f>IF($I7&gt;0,VLOOKUP($I7,DrawPrep!$C$3:$F$34,3,FALSE),"")</f>
        <v>ΗΡΑΚΛΕΙΟ Ο.Α.&amp; Α.</v>
      </c>
      <c r="M7" s="312">
        <v>2</v>
      </c>
      <c r="N7" s="361">
        <f>IF((OR(M7=1,M7=2)),IF(M7=1,I7,I8),"")</f>
        <v>33295</v>
      </c>
      <c r="O7" s="233" t="str">
        <f>UPPER(IF($A$2="R",IF(OR(M7=1,M7="a"),I7,IF(OR(M7=2,M7="b"),I8,"")),IF(OR(M7=1,M7="a"),K7,IF(OR(M7=2,M7="b"),K8,""))))</f>
        <v>ΒΟΛΤΥΡΑΚΗΣ</v>
      </c>
      <c r="P7" s="315"/>
      <c r="Q7" s="264"/>
      <c r="R7" s="243" t="s">
        <v>260</v>
      </c>
      <c r="S7" s="313"/>
      <c r="T7" s="234"/>
      <c r="U7" s="234"/>
      <c r="V7" s="313"/>
      <c r="W7" s="234"/>
      <c r="X7" s="234"/>
    </row>
    <row r="8" spans="1:31" ht="12" customHeight="1" x14ac:dyDescent="0.2">
      <c r="A8" s="252">
        <v>4</v>
      </c>
      <c r="B8" s="236">
        <f>3-D8+8</f>
        <v>10</v>
      </c>
      <c r="C8" s="237">
        <v>15</v>
      </c>
      <c r="D8" s="238">
        <f t="shared" ref="D8:D36" si="1">D7+E8</f>
        <v>1</v>
      </c>
      <c r="E8" s="239">
        <f>IF($B$2&gt;=C8,1,0)</f>
        <v>0</v>
      </c>
      <c r="F8" s="253">
        <f>IF(NOT($G8="-"),VLOOKUP($G8,DrawPrep!$A$3:$F$34,2,FALSE),"")</f>
        <v>0</v>
      </c>
      <c r="G8" s="253">
        <f>IF($B$2&gt;=C8,"-",VLOOKUP($B8,Setup!$K$2:$L$33,2,FALSE))</f>
        <v>9</v>
      </c>
      <c r="H8" s="328">
        <f>IF(NOT($G8="-"),VLOOKUP($G8,DrawPrep!$A$3:$F$34,6,FALSE),0)</f>
        <v>13</v>
      </c>
      <c r="I8" s="254">
        <f>IF(Setup!$B$24="#",0,IF(NOT($G8="-"),VLOOKUP($G8,DrawPrep!$A$3:$F$34,3,FALSE),0))</f>
        <v>33295</v>
      </c>
      <c r="J8" s="255" t="str">
        <f>IF($I8&gt;0,VLOOKUP($I8,DrawPrep!$C$3:$F$34,2,FALSE),"bye")</f>
        <v>ΒΟΛΤΥΡΑΚΗΣ ΕΥΤΥΧΙΟΣ</v>
      </c>
      <c r="K8" s="256" t="str">
        <f t="shared" si="0"/>
        <v>ΒΟΛΤΥΡΑΚΗΣ</v>
      </c>
      <c r="L8" s="257" t="str">
        <f>IF($I8&gt;0,VLOOKUP($I8,DrawPrep!$C$3:$F$34,3,FALSE),"")</f>
        <v>Ο.Α.ΧΑΝΙΩΝ</v>
      </c>
      <c r="M8" s="315"/>
      <c r="N8" s="234"/>
      <c r="O8" s="259" t="s">
        <v>257</v>
      </c>
      <c r="P8" s="313"/>
      <c r="Q8" s="234"/>
      <c r="R8" s="260"/>
      <c r="S8" s="316">
        <v>1</v>
      </c>
      <c r="T8" s="361">
        <f>IF((OR(S8=1,S8=2)),IF(S8=1,Q6,Q10),"")</f>
        <v>31617</v>
      </c>
      <c r="U8" s="233" t="str">
        <f>UPPER(IF($A$2="R",IF(OR(S8=1,S8="a"),R6,IF(OR(S8=2,S8="b"),R10,"")),IF(OR(S8=1,S8="a"),R6,IF(OR(S8=2,S8="b"),R10,""))))</f>
        <v>ΜΑΤΣΑΜΑΚΗΣ</v>
      </c>
      <c r="V8" s="313"/>
      <c r="W8" s="234"/>
      <c r="X8" s="234"/>
    </row>
    <row r="9" spans="1:31" ht="12" customHeight="1" x14ac:dyDescent="0.2">
      <c r="A9" s="220">
        <v>5</v>
      </c>
      <c r="B9" s="236">
        <f>4-D9+8</f>
        <v>11</v>
      </c>
      <c r="C9" s="245"/>
      <c r="D9" s="238">
        <f t="shared" si="1"/>
        <v>1</v>
      </c>
      <c r="E9" s="246">
        <v>0</v>
      </c>
      <c r="F9" s="225">
        <f>IF(NOT($G9="-"),VLOOKUP($G9,DrawPrep!$A$3:$F$34,2,FALSE),"")</f>
        <v>0</v>
      </c>
      <c r="G9" s="225">
        <f>VLOOKUP($B9,Setup!$K$2:$L$33,2,FALSE)</f>
        <v>10</v>
      </c>
      <c r="H9" s="325">
        <f>IF($G9&gt;0,VLOOKUP($G9,DrawPrep!$A$3:$F$34,6,FALSE),0)</f>
        <v>11</v>
      </c>
      <c r="I9" s="227">
        <f>IF(Setup!$B$24="#",0,IF($G9&gt;0,VLOOKUP($G9,DrawPrep!$A$3:$F$34,3,FALSE),0))</f>
        <v>36550</v>
      </c>
      <c r="J9" s="261" t="str">
        <f>IF($I9&gt;0,VLOOKUP($I9,DrawPrep!$C$3:$F$34,2,FALSE),"bye")</f>
        <v>ΠΕΡΔΙΚΑΚΗΣ ΕΜΜΑΝΟΥΗΛ</v>
      </c>
      <c r="K9" s="262" t="str">
        <f t="shared" si="0"/>
        <v>ΠΕΡΔΙΚΑΚΗΣ</v>
      </c>
      <c r="L9" s="263" t="str">
        <f>IF($I9&gt;0,VLOOKUP($I9,DrawPrep!$C$3:$F$34,3,FALSE),"")</f>
        <v>Γ.Σ.ΛΙΒΥΚΟΣ ΙΕΡΑΠΕΤΡΑΣ</v>
      </c>
      <c r="M9" s="317">
        <v>1</v>
      </c>
      <c r="N9" s="361">
        <f>IF((OR(M9=1,M9=2)),IF(M9=1,I9,I10),"")</f>
        <v>36550</v>
      </c>
      <c r="O9" s="233" t="str">
        <f>UPPER(IF($A$2="R",IF(OR(M9=1,M9="a"),I9,IF(OR(M9=2,M9="b"),I10,"")),IF(OR(M9=1,M9="a"),K9,IF(OR(M9=2,M9="b"),K10,""))))</f>
        <v>ΠΕΡΔΙΚΑΚΗΣ</v>
      </c>
      <c r="P9" s="313"/>
      <c r="Q9" s="234"/>
      <c r="R9" s="260"/>
      <c r="S9" s="313"/>
      <c r="T9" s="234"/>
      <c r="U9" s="243" t="s">
        <v>268</v>
      </c>
      <c r="V9" s="313"/>
      <c r="W9" s="234"/>
      <c r="X9" s="234"/>
    </row>
    <row r="10" spans="1:31" ht="12" customHeight="1" x14ac:dyDescent="0.2">
      <c r="A10" s="235">
        <v>6</v>
      </c>
      <c r="B10" s="236">
        <f>5-D10+8</f>
        <v>12</v>
      </c>
      <c r="C10" s="237">
        <v>9</v>
      </c>
      <c r="D10" s="238">
        <f t="shared" si="1"/>
        <v>1</v>
      </c>
      <c r="E10" s="239">
        <f>IF($B$2&gt;=C10,1,0)</f>
        <v>0</v>
      </c>
      <c r="F10" s="232">
        <f>IF(NOT($G10="-"),VLOOKUP($G10,DrawPrep!$A$3:$F$34,2,FALSE),"")</f>
        <v>0</v>
      </c>
      <c r="G10" s="232">
        <f>IF($B$2&gt;=C10,"-",VLOOKUP($B10,Setup!$K$2:$L$33,2,FALSE))</f>
        <v>26</v>
      </c>
      <c r="H10" s="326">
        <f>IF(NOT($G10="-"),VLOOKUP($G10,DrawPrep!$A$3:$F$34,6,FALSE),0)</f>
        <v>0</v>
      </c>
      <c r="I10" s="240">
        <f>IF(Setup!$B$24="#",0,IF(NOT($G10="-"),VLOOKUP($G10,DrawPrep!$A$3:$F$34,3,FALSE),0))</f>
        <v>37561</v>
      </c>
      <c r="J10" s="241" t="str">
        <f>IF($I10&gt;0,VLOOKUP($I10,DrawPrep!$C$3:$F$34,2,FALSE),"bye")</f>
        <v>ΦΟΥΝΤΟΥΛΑΚΗΣ ΝΙΚΟΛΑΟΣ</v>
      </c>
      <c r="K10" s="233" t="str">
        <f t="shared" si="0"/>
        <v>ΦΟΥΝΤΟΥΛΑΚΗΣ</v>
      </c>
      <c r="L10" s="242" t="str">
        <f>IF($I10&gt;0,VLOOKUP($I10,DrawPrep!$C$3:$F$34,3,FALSE),"")</f>
        <v>Ο.Α.ΧΑΝΙΩΝ</v>
      </c>
      <c r="M10" s="315"/>
      <c r="N10" s="264"/>
      <c r="O10" s="243" t="s">
        <v>258</v>
      </c>
      <c r="P10" s="312">
        <v>2</v>
      </c>
      <c r="Q10" s="361">
        <f>IF((OR(P10=1,P10=2)),IF(P10=1,N9,N11),"")</f>
        <v>32350</v>
      </c>
      <c r="R10" s="233" t="str">
        <f>UPPER(IF($A$2="R",IF(OR(P10=1,P10="a"),O9,IF(OR(P10=2,P10="b"),O11,"")),IF(OR(P10=1,P10="a"),O9,IF(OR(P10=2,P10="b"),O11,""))))</f>
        <v>ΠΕΤΡΑΚΗΣ</v>
      </c>
      <c r="S10" s="318"/>
      <c r="T10" s="234"/>
      <c r="U10" s="260" t="s">
        <v>22</v>
      </c>
      <c r="V10" s="313"/>
      <c r="W10" s="234"/>
      <c r="X10" s="234"/>
    </row>
    <row r="11" spans="1:31" ht="12" customHeight="1" x14ac:dyDescent="0.2">
      <c r="A11" s="244">
        <v>7</v>
      </c>
      <c r="B11" s="236">
        <f>6-D11+8</f>
        <v>12</v>
      </c>
      <c r="C11" s="237">
        <f>B12</f>
        <v>6</v>
      </c>
      <c r="D11" s="238">
        <f t="shared" si="1"/>
        <v>2</v>
      </c>
      <c r="E11" s="239">
        <f>IF($B$2&gt;=C11,1,0)</f>
        <v>1</v>
      </c>
      <c r="F11" s="247" t="str">
        <f>IF(NOT($G11="-"),VLOOKUP($G11,DrawPrep!$A$3:$F$34,2,FALSE),"")</f>
        <v/>
      </c>
      <c r="G11" s="247" t="str">
        <f>IF($B$2&gt;=C11,"-",VLOOKUP($B11,Setup!$K$2:$L$33,2,FALSE))</f>
        <v>-</v>
      </c>
      <c r="H11" s="327">
        <f>IF(NOT($G11="-"),VLOOKUP($G11,DrawPrep!$A$3:$F$34,6,FALSE),0)</f>
        <v>0</v>
      </c>
      <c r="I11" s="248">
        <f>IF(Setup!$B$24="#",0,IF(NOT($G11="-"),VLOOKUP($G11,DrawPrep!$A$3:$F$34,3,FALSE),0))</f>
        <v>0</v>
      </c>
      <c r="J11" s="249" t="str">
        <f>IF($I11&gt;0,VLOOKUP($I11,DrawPrep!$C$3:$F$34,2,FALSE),"bye")</f>
        <v>bye</v>
      </c>
      <c r="K11" s="250" t="str">
        <f t="shared" si="0"/>
        <v/>
      </c>
      <c r="L11" s="251" t="str">
        <f>IF($I11&gt;0,VLOOKUP($I11,DrawPrep!$C$3:$F$34,3,FALSE),"")</f>
        <v/>
      </c>
      <c r="M11" s="312">
        <v>2</v>
      </c>
      <c r="N11" s="361">
        <f>IF((OR(M11=1,M11=2)),IF(M11=1,I11,I12),"")</f>
        <v>32350</v>
      </c>
      <c r="O11" s="233" t="str">
        <f>UPPER(IF($A$2="R",IF(OR(M11=1,M11="a"),I11,IF(OR(M11=2,M11="b"),I12,"")),IF(OR(M11=1,M11="a"),K11,IF(OR(M11=2,M11="b"),K12,""))))</f>
        <v>ΠΕΤΡΑΚΗΣ</v>
      </c>
      <c r="P11" s="315"/>
      <c r="Q11" s="264"/>
      <c r="R11" s="264" t="s">
        <v>270</v>
      </c>
      <c r="S11" s="313"/>
      <c r="T11" s="234"/>
      <c r="U11" s="260"/>
      <c r="V11" s="318"/>
      <c r="W11" s="234"/>
      <c r="X11" s="234"/>
    </row>
    <row r="12" spans="1:31" ht="12" customHeight="1" x14ac:dyDescent="0.2">
      <c r="A12" s="252">
        <v>8</v>
      </c>
      <c r="B12" s="265">
        <f>VALUE(Setup!E5)</f>
        <v>6</v>
      </c>
      <c r="C12" s="245"/>
      <c r="D12" s="238">
        <f t="shared" si="1"/>
        <v>2</v>
      </c>
      <c r="E12" s="246">
        <v>0</v>
      </c>
      <c r="F12" s="253">
        <f>IF(NOT($G12="-"),VLOOKUP($G12,DrawPrep!$A$3:$F$34,2,FALSE),"")</f>
        <v>0</v>
      </c>
      <c r="G12" s="266">
        <f>VLOOKUP($B12,Setup!$K$2:$L$33,2,FALSE)</f>
        <v>6</v>
      </c>
      <c r="H12" s="328">
        <f>IF($G12&gt;0,VLOOKUP($G12,DrawPrep!$A$3:$F$34,6,FALSE),0)</f>
        <v>17.5</v>
      </c>
      <c r="I12" s="267">
        <f>IF(Setup!$B$24="#",0,IF($G12&gt;0,VLOOKUP($G12,DrawPrep!$A$3:$F$34,3,FALSE),0))</f>
        <v>32350</v>
      </c>
      <c r="J12" s="268" t="str">
        <f>IF($I12&gt;0,VLOOKUP($I12,DrawPrep!$C$3:$F$34,2,FALSE),"bye")</f>
        <v>ΠΕΤΡΑΚΗΣ ΣΤΥΛΙΑΝΟΣ</v>
      </c>
      <c r="K12" s="269" t="str">
        <f t="shared" si="0"/>
        <v>ΠΕΤΡΑΚΗΣ</v>
      </c>
      <c r="L12" s="270" t="str">
        <f>IF($I12&gt;0,VLOOKUP($I12,DrawPrep!$C$3:$F$34,3,FALSE),"")</f>
        <v>Ο.Α.ΧΑΝΙΩΝ</v>
      </c>
      <c r="M12" s="315"/>
      <c r="N12" s="264"/>
      <c r="O12" s="264"/>
      <c r="P12" s="314"/>
      <c r="Q12" s="259"/>
      <c r="R12" s="234"/>
      <c r="S12" s="314"/>
      <c r="T12" s="259"/>
      <c r="U12" s="234"/>
      <c r="V12" s="312">
        <v>1</v>
      </c>
      <c r="W12" s="361">
        <f>IF((OR(V12=1,V12=2)),IF(V12=1,T8,T16),"")</f>
        <v>31617</v>
      </c>
      <c r="X12" s="240" t="str">
        <f>UPPER(IF($A$2="R",IF(OR(V12=1,V12="a"),U8,IF(OR(V12=2,V12="b"),U16,"")),IF(OR(V12=1,V12="a"),U8,IF(OR(V12=2,V12="b"),U16,""))))</f>
        <v>ΜΑΤΣΑΜΑΚΗΣ</v>
      </c>
    </row>
    <row r="13" spans="1:31" ht="12" customHeight="1" x14ac:dyDescent="0.2">
      <c r="A13" s="271">
        <v>9</v>
      </c>
      <c r="B13" s="272">
        <f>VALUE(Setup!E2)</f>
        <v>3</v>
      </c>
      <c r="C13" s="245"/>
      <c r="D13" s="238">
        <f t="shared" si="1"/>
        <v>2</v>
      </c>
      <c r="E13" s="246">
        <v>0</v>
      </c>
      <c r="F13" s="258">
        <f>IF(NOT($G13="-"),VLOOKUP($G13,DrawPrep!$A$3:$F$34,2,FALSE),"")</f>
        <v>0</v>
      </c>
      <c r="G13" s="273">
        <f>VLOOKUP($B13,Setup!$K$2:$L$33,2,FALSE)</f>
        <v>3</v>
      </c>
      <c r="H13" s="329">
        <f>IF($G13&gt;0,VLOOKUP($G13,DrawPrep!$A$3:$F$34,6,FALSE),0)</f>
        <v>26</v>
      </c>
      <c r="I13" s="275">
        <f>IF(Setup!$B$24="#",0,IF($G13&gt;0,VLOOKUP($G13,DrawPrep!$A$3:$F$34,3,FALSE),0))</f>
        <v>36456</v>
      </c>
      <c r="J13" s="276" t="str">
        <f>IF($I13&gt;0,VLOOKUP($I13,DrawPrep!$C$3:$F$34,2,FALSE),"bye")</f>
        <v>ΓΕΝΝΑΡΑΚΗΣ ΝΙΚΟΛΑΟΣ</v>
      </c>
      <c r="K13" s="277" t="str">
        <f t="shared" si="0"/>
        <v>ΓΕΝΝΑΡΑΚΗΣ</v>
      </c>
      <c r="L13" s="278" t="str">
        <f>IF($I13&gt;0,VLOOKUP($I13,DrawPrep!$C$3:$F$34,3,FALSE),"")</f>
        <v>ΗΡΑΚΛΕΙΟ Ο.Α.&amp; Α.</v>
      </c>
      <c r="M13" s="312">
        <v>1</v>
      </c>
      <c r="N13" s="361">
        <f>IF((OR(M13=1,M13=2)),IF(M13=1,I13,I14),"")</f>
        <v>36456</v>
      </c>
      <c r="O13" s="233" t="str">
        <f>UPPER(IF($A$2="R",IF(OR(M13=1,M13="a"),I13,IF(OR(M13=2,M13="b"),I14,"")),IF(OR(M13=1,M13="a"),K13,IF(OR(M13=2,M13="b"),K14,""))))</f>
        <v>ΓΕΝΝΑΡΑΚΗΣ</v>
      </c>
      <c r="P13" s="313"/>
      <c r="Q13" s="234"/>
      <c r="R13" s="234"/>
      <c r="S13" s="314"/>
      <c r="T13" s="259"/>
      <c r="U13" s="234"/>
      <c r="V13" s="318"/>
      <c r="W13" s="234"/>
      <c r="X13" s="279" t="s">
        <v>273</v>
      </c>
    </row>
    <row r="14" spans="1:31" ht="12" customHeight="1" x14ac:dyDescent="0.2">
      <c r="A14" s="271">
        <v>10</v>
      </c>
      <c r="B14" s="236">
        <f>7-D14+8</f>
        <v>12</v>
      </c>
      <c r="C14" s="280">
        <f>B13</f>
        <v>3</v>
      </c>
      <c r="D14" s="238">
        <f t="shared" si="1"/>
        <v>3</v>
      </c>
      <c r="E14" s="239">
        <f>IF($B$2&gt;=C14,1,0)</f>
        <v>1</v>
      </c>
      <c r="F14" s="258" t="str">
        <f>IF(NOT($G14="-"),VLOOKUP($G14,DrawPrep!$A$3:$F$34,2,FALSE),"")</f>
        <v/>
      </c>
      <c r="G14" s="258" t="str">
        <f>IF($B$2&gt;=C14,"-",VLOOKUP($B14,Setup!$K$2:$L$33,2,FALSE))</f>
        <v>-</v>
      </c>
      <c r="H14" s="329">
        <f>IF(NOT($G14="-"),VLOOKUP($G14,DrawPrep!$A$3:$F$34,6,FALSE),0)</f>
        <v>0</v>
      </c>
      <c r="I14" s="274">
        <f>IF(Setup!$B$24="#",0,IF(NOT($G14="-"),VLOOKUP($G14,DrawPrep!$A$3:$F$34,3,FALSE),0))</f>
        <v>0</v>
      </c>
      <c r="J14" s="281" t="str">
        <f>IF($I14&gt;0,VLOOKUP($I14,DrawPrep!$C$3:$F$34,2,FALSE),"bye")</f>
        <v>bye</v>
      </c>
      <c r="K14" s="282" t="str">
        <f t="shared" si="0"/>
        <v/>
      </c>
      <c r="L14" s="283" t="str">
        <f>IF($I14&gt;0,VLOOKUP($I14,DrawPrep!$C$3:$F$34,3,FALSE),"")</f>
        <v/>
      </c>
      <c r="M14" s="315"/>
      <c r="N14" s="264"/>
      <c r="O14" s="243"/>
      <c r="P14" s="312">
        <v>1</v>
      </c>
      <c r="Q14" s="361">
        <f>IF((OR(P14=1,P14=2)),IF(P14=1,N13,N15),"")</f>
        <v>36456</v>
      </c>
      <c r="R14" s="233" t="str">
        <f>UPPER(IF($A$2="R",IF(OR(P14=1,P14="a"),O13,IF(OR(P14=2,P14="b"),O15,"")),IF(OR(P14=1,P14="a"),O13,IF(OR(P14=2,P14="b"),O15,""))))</f>
        <v>ΓΕΝΝΑΡΑΚΗΣ</v>
      </c>
      <c r="S14" s="313"/>
      <c r="T14" s="234"/>
      <c r="U14" s="234"/>
      <c r="V14" s="318"/>
      <c r="W14" s="234"/>
      <c r="X14" s="284"/>
    </row>
    <row r="15" spans="1:31" ht="12" customHeight="1" x14ac:dyDescent="0.2">
      <c r="A15" s="244">
        <v>11</v>
      </c>
      <c r="B15" s="236">
        <f>8-D15+8</f>
        <v>13</v>
      </c>
      <c r="C15" s="245"/>
      <c r="D15" s="238">
        <f t="shared" si="1"/>
        <v>3</v>
      </c>
      <c r="E15" s="246">
        <v>0</v>
      </c>
      <c r="F15" s="247">
        <f>IF(NOT($G15="-"),VLOOKUP($G15,DrawPrep!$A$3:$F$34,2,FALSE),"")</f>
        <v>0</v>
      </c>
      <c r="G15" s="247">
        <f>VLOOKUP($B15,Setup!$K$2:$L$33,2,FALSE)</f>
        <v>21</v>
      </c>
      <c r="H15" s="327">
        <f>IF($G15&gt;0,VLOOKUP($G15,DrawPrep!$A$3:$F$34,6,FALSE),0)</f>
        <v>0</v>
      </c>
      <c r="I15" s="248">
        <f>IF(Setup!$B$24="#",0,IF($G15&gt;0,VLOOKUP($G15,DrawPrep!$A$3:$F$34,3,FALSE),0))</f>
        <v>38042</v>
      </c>
      <c r="J15" s="249" t="str">
        <f>IF($I15&gt;0,VLOOKUP($I15,DrawPrep!$C$3:$F$34,2,FALSE),"bye")</f>
        <v>ΜΠΟΥΝΑΚΗΣ ΔΗΜΗΤΡΙΟΣ</v>
      </c>
      <c r="K15" s="250" t="str">
        <f t="shared" si="0"/>
        <v>ΜΠΟΥΝΑΚΗΣ</v>
      </c>
      <c r="L15" s="251" t="str">
        <f>IF($I15&gt;0,VLOOKUP($I15,DrawPrep!$C$3:$F$34,3,FALSE),"")</f>
        <v>ΗΡΑΚΛΕΙΟ Ο.Α.&amp; Α.</v>
      </c>
      <c r="M15" s="312">
        <v>1</v>
      </c>
      <c r="N15" s="361">
        <f>IF((OR(M15=1,M15=2)),IF(M15=1,I15,I16),"")</f>
        <v>38042</v>
      </c>
      <c r="O15" s="233" t="str">
        <f>UPPER(IF($A$2="R",IF(OR(M15=1,M15="a"),I15,IF(OR(M15=2,M15="b"),I16,"")),IF(OR(M15=1,M15="a"),K15,IF(OR(M15=2,M15="b"),K16,""))))</f>
        <v>ΜΠΟΥΝΑΚΗΣ</v>
      </c>
      <c r="P15" s="315"/>
      <c r="Q15" s="264"/>
      <c r="R15" s="243" t="s">
        <v>269</v>
      </c>
      <c r="S15" s="313"/>
      <c r="T15" s="234"/>
      <c r="U15" s="234"/>
      <c r="V15" s="318"/>
      <c r="W15" s="234"/>
      <c r="X15" s="284"/>
    </row>
    <row r="16" spans="1:31" ht="12" customHeight="1" x14ac:dyDescent="0.2">
      <c r="A16" s="252">
        <v>12</v>
      </c>
      <c r="B16" s="236">
        <f>9-D16+8</f>
        <v>14</v>
      </c>
      <c r="C16" s="237">
        <v>13</v>
      </c>
      <c r="D16" s="238">
        <f t="shared" si="1"/>
        <v>3</v>
      </c>
      <c r="E16" s="239">
        <f>IF($B$2&gt;=C16,1,0)</f>
        <v>0</v>
      </c>
      <c r="F16" s="253">
        <f>IF(NOT($G16="-"),VLOOKUP($G16,DrawPrep!$A$3:$F$34,2,FALSE),"")</f>
        <v>0</v>
      </c>
      <c r="G16" s="253">
        <f>IF($B$2&gt;=C16,"-",VLOOKUP($B16,Setup!$K$2:$L$33,2,FALSE))</f>
        <v>25</v>
      </c>
      <c r="H16" s="328">
        <f>IF(NOT($G16="-"),VLOOKUP($G16,DrawPrep!$A$3:$F$34,6,FALSE),0)</f>
        <v>0</v>
      </c>
      <c r="I16" s="254">
        <f>IF(Setup!$B$24="#",0,IF(NOT($G16="-"),VLOOKUP($G16,DrawPrep!$A$3:$F$34,3,FALSE),0))</f>
        <v>37803</v>
      </c>
      <c r="J16" s="255" t="str">
        <f>IF($I16&gt;0,VLOOKUP($I16,DrawPrep!$C$3:$F$34,2,FALSE),"bye")</f>
        <v>ΚΑΛΑΤΖΗΣ ΑΛΕΞΑΝΔΡΟΣ</v>
      </c>
      <c r="K16" s="256" t="str">
        <f t="shared" si="0"/>
        <v>ΚΑΛΑΤΖΗΣ</v>
      </c>
      <c r="L16" s="257" t="str">
        <f>IF($I16&gt;0,VLOOKUP($I16,DrawPrep!$C$3:$F$34,3,FALSE),"")</f>
        <v>ΗΡΑΚΛΕΙΟ Ο.Α.&amp; Α.</v>
      </c>
      <c r="M16" s="319"/>
      <c r="N16" s="234"/>
      <c r="O16" s="264" t="s">
        <v>259</v>
      </c>
      <c r="P16" s="313"/>
      <c r="Q16" s="234"/>
      <c r="R16" s="260"/>
      <c r="S16" s="316">
        <v>1</v>
      </c>
      <c r="T16" s="361">
        <f>IF((OR(S16=1,S16=2)),IF(S16=1,Q14,Q18),"")</f>
        <v>36456</v>
      </c>
      <c r="U16" s="233" t="str">
        <f>UPPER(IF($A$2="R",IF(OR(S16=1,S16="a"),R14,IF(OR(S16=2,S16="b"),R18,"")),IF(OR(S16=1,S16="a"),R14,IF(OR(S16=2,S16="b"),R18,""))))</f>
        <v>ΓΕΝΝΑΡΑΚΗΣ</v>
      </c>
      <c r="V16" s="318"/>
      <c r="W16" s="234"/>
      <c r="X16" s="284"/>
    </row>
    <row r="17" spans="1:25" ht="11.25" x14ac:dyDescent="0.2">
      <c r="A17" s="271">
        <v>13</v>
      </c>
      <c r="B17" s="236">
        <f>10-D17+8</f>
        <v>15</v>
      </c>
      <c r="C17" s="245"/>
      <c r="D17" s="238">
        <f t="shared" si="1"/>
        <v>3</v>
      </c>
      <c r="E17" s="246">
        <v>0</v>
      </c>
      <c r="F17" s="258">
        <f>IF(NOT($G17="-"),VLOOKUP($G17,DrawPrep!$A$3:$F$34,2,FALSE),"")</f>
        <v>0</v>
      </c>
      <c r="G17" s="258">
        <f>VLOOKUP($B17,Setup!$K$2:$L$33,2,FALSE)</f>
        <v>20</v>
      </c>
      <c r="H17" s="329">
        <f>IF($G17&gt;0,VLOOKUP($G17,DrawPrep!$A$3:$F$34,6,FALSE),0)</f>
        <v>0</v>
      </c>
      <c r="I17" s="274">
        <f>IF(Setup!$B$24="#",0,IF($G17&gt;0,VLOOKUP($G17,DrawPrep!$A$3:$F$34,3,FALSE),0))</f>
        <v>37801</v>
      </c>
      <c r="J17" s="281" t="str">
        <f>IF($I17&gt;0,VLOOKUP($I17,DrawPrep!$C$3:$F$34,2,FALSE),"bye")</f>
        <v>ΚΑΡΑΚΩΣΤΑΣ ΣΠΥΡΙΔΩΝ</v>
      </c>
      <c r="K17" s="282" t="str">
        <f t="shared" si="0"/>
        <v>ΚΑΡΑΚΩΣΤΑΣ</v>
      </c>
      <c r="L17" s="283" t="str">
        <f>IF($I17&gt;0,VLOOKUP($I17,DrawPrep!$C$3:$F$34,3,FALSE),"")</f>
        <v>ΗΡΑΚΛΕΙΟ Ο.Α.&amp; Α.</v>
      </c>
      <c r="M17" s="312">
        <v>1</v>
      </c>
      <c r="N17" s="361">
        <f>IF((OR(M17=1,M17=2)),IF(M17=1,I17,I18),"")</f>
        <v>37801</v>
      </c>
      <c r="O17" s="233" t="str">
        <f>UPPER(IF($A$2="R",IF(OR(M17=1,M17="a"),I17,IF(OR(M17=2,M17="b"),I18,"")),IF(OR(M17=1,M17="a"),K17,IF(OR(M17=2,M17="b"),K18,""))))</f>
        <v>ΚΑΡΑΚΩΣΤΑΣ</v>
      </c>
      <c r="P17" s="313"/>
      <c r="Q17" s="234"/>
      <c r="R17" s="260"/>
      <c r="S17" s="313"/>
      <c r="T17" s="234"/>
      <c r="U17" s="264" t="s">
        <v>271</v>
      </c>
      <c r="V17" s="313"/>
      <c r="W17" s="234"/>
      <c r="X17" s="284"/>
      <c r="Y17" s="68"/>
    </row>
    <row r="18" spans="1:25" ht="11.25" x14ac:dyDescent="0.2">
      <c r="A18" s="271">
        <v>14</v>
      </c>
      <c r="B18" s="236">
        <f>11-D18+8</f>
        <v>16</v>
      </c>
      <c r="C18" s="237">
        <v>11</v>
      </c>
      <c r="D18" s="238">
        <f t="shared" si="1"/>
        <v>3</v>
      </c>
      <c r="E18" s="239">
        <f>IF($B$2&gt;=C18,1,0)</f>
        <v>0</v>
      </c>
      <c r="F18" s="258">
        <f>IF(NOT($G18="-"),VLOOKUP($G18,DrawPrep!$A$3:$F$34,2,FALSE),"")</f>
        <v>0</v>
      </c>
      <c r="G18" s="258">
        <f>IF($B$2&gt;=C18,"-",VLOOKUP($B18,Setup!$K$2:$L$33,2,FALSE))</f>
        <v>22</v>
      </c>
      <c r="H18" s="329">
        <f>IF(NOT($G18="-"),VLOOKUP($G18,DrawPrep!$A$3:$F$34,6,FALSE),0)</f>
        <v>0</v>
      </c>
      <c r="I18" s="274">
        <f>IF(Setup!$B$24="#",0,IF(NOT($G18="-"),VLOOKUP($G18,DrawPrep!$A$3:$F$34,3,FALSE),0))</f>
        <v>37800</v>
      </c>
      <c r="J18" s="281" t="str">
        <f>IF($I18&gt;0,VLOOKUP($I18,DrawPrep!$C$3:$F$34,2,FALSE),"bye")</f>
        <v>ΒΕΛΕΝΤΑΚΗΣ ΙΩΑΝΝΗΣ</v>
      </c>
      <c r="K18" s="282" t="str">
        <f t="shared" si="0"/>
        <v>ΒΕΛΕΝΤΑΚΗΣ</v>
      </c>
      <c r="L18" s="283" t="str">
        <f>IF($I18&gt;0,VLOOKUP($I18,DrawPrep!$C$3:$F$34,3,FALSE),"")</f>
        <v>ΗΡΑΚΛΕΙΟ Ο.Α.&amp; Α.</v>
      </c>
      <c r="M18" s="315"/>
      <c r="N18" s="264"/>
      <c r="O18" s="243" t="s">
        <v>260</v>
      </c>
      <c r="P18" s="312">
        <v>2</v>
      </c>
      <c r="Q18" s="361">
        <f>IF((OR(P18=1,P18=2)),IF(P18=1,N17,N19),"")</f>
        <v>37665</v>
      </c>
      <c r="R18" s="233" t="str">
        <f>UPPER(IF($A$2="R",IF(OR(P18=1,P18="a"),O17,IF(OR(P18=2,P18="b"),O19,"")),IF(OR(P18=1,P18="a"),O17,IF(OR(P18=2,P18="b"),O19,""))))</f>
        <v>ΚΟΚΚΙΝΑΚΗΣ</v>
      </c>
      <c r="S18" s="318"/>
      <c r="T18" s="234"/>
      <c r="U18" s="234"/>
      <c r="V18" s="313"/>
      <c r="W18" s="234"/>
      <c r="X18" s="284"/>
      <c r="Y18" s="68"/>
    </row>
    <row r="19" spans="1:25" ht="11.25" x14ac:dyDescent="0.2">
      <c r="A19" s="244">
        <v>15</v>
      </c>
      <c r="B19" s="236">
        <f>12-D19+8</f>
        <v>17</v>
      </c>
      <c r="C19" s="237">
        <f>B20</f>
        <v>7</v>
      </c>
      <c r="D19" s="238">
        <f t="shared" si="1"/>
        <v>3</v>
      </c>
      <c r="E19" s="239">
        <f>IF($B$2&gt;=C19,1,0)</f>
        <v>0</v>
      </c>
      <c r="F19" s="247">
        <f>IF(NOT($G19="-"),VLOOKUP($G19,DrawPrep!$A$3:$F$34,2,FALSE),"")</f>
        <v>0</v>
      </c>
      <c r="G19" s="247">
        <f>IF($B$2&gt;=C19,"-",VLOOKUP($B19,Setup!$K$2:$L$33,2,FALSE))</f>
        <v>12</v>
      </c>
      <c r="H19" s="327">
        <f>IF(NOT($G19="-"),VLOOKUP($G19,DrawPrep!$A$3:$F$34,6,FALSE),0)</f>
        <v>7.5</v>
      </c>
      <c r="I19" s="248">
        <f>IF(Setup!$B$24="#",0,IF(NOT($G19="-"),VLOOKUP($G19,DrawPrep!$A$3:$F$34,3,FALSE),0))</f>
        <v>37990</v>
      </c>
      <c r="J19" s="249" t="str">
        <f>IF($I19&gt;0,VLOOKUP($I19,DrawPrep!$C$3:$F$34,2,FALSE),"bye")</f>
        <v>ΝΙΝΟΣ ΝΙΚΟΛΑΟΣ</v>
      </c>
      <c r="K19" s="250" t="str">
        <f t="shared" si="0"/>
        <v>ΝΙΝΟΣ</v>
      </c>
      <c r="L19" s="251" t="str">
        <f>IF($I19&gt;0,VLOOKUP($I19,DrawPrep!$C$3:$F$34,3,FALSE),"")</f>
        <v>Ο.Α.ΡΕΘΥΜΝΟΥ</v>
      </c>
      <c r="M19" s="312">
        <v>2</v>
      </c>
      <c r="N19" s="361">
        <f>IF((OR(M19=1,M19=2)),IF(M19=1,I19,I20),"")</f>
        <v>37665</v>
      </c>
      <c r="O19" s="233" t="str">
        <f>UPPER(IF($A$2="R",IF(OR(M19=1,M19="a"),I19,IF(OR(M19=2,M19="b"),I20,"")),IF(OR(M19=1,M19="a"),K19,IF(OR(M19=2,M19="b"),K20,""))))</f>
        <v>ΚΟΚΚΙΝΑΚΗΣ</v>
      </c>
      <c r="P19" s="315"/>
      <c r="Q19" s="264"/>
      <c r="R19" s="264" t="s">
        <v>268</v>
      </c>
      <c r="S19" s="313"/>
      <c r="T19" s="234"/>
      <c r="U19" s="234"/>
      <c r="V19" s="313"/>
      <c r="W19" s="234"/>
      <c r="X19" s="284"/>
      <c r="Y19" s="68"/>
    </row>
    <row r="20" spans="1:25" ht="11.25" x14ac:dyDescent="0.2">
      <c r="A20" s="252">
        <v>16</v>
      </c>
      <c r="B20" s="221">
        <f>VALUE(Setup!E6)</f>
        <v>7</v>
      </c>
      <c r="C20" s="245"/>
      <c r="D20" s="238">
        <f t="shared" si="1"/>
        <v>3</v>
      </c>
      <c r="E20" s="246">
        <v>0</v>
      </c>
      <c r="F20" s="253">
        <f>IF(NOT($G20="-"),VLOOKUP($G20,DrawPrep!$A$3:$F$34,2,FALSE),"")</f>
        <v>0</v>
      </c>
      <c r="G20" s="266">
        <f>VLOOKUP($B20,Setup!$K$2:$L$33,2,FALSE)</f>
        <v>7</v>
      </c>
      <c r="H20" s="328">
        <f>IF($G20&gt;0,VLOOKUP($G20,DrawPrep!$A$3:$F$34,6,FALSE),0)</f>
        <v>17</v>
      </c>
      <c r="I20" s="267">
        <f>IF(Setup!$B$24="#",0,IF($G20&gt;0,VLOOKUP($G20,DrawPrep!$A$3:$F$34,3,FALSE),0))</f>
        <v>37665</v>
      </c>
      <c r="J20" s="268" t="str">
        <f>IF($I20&gt;0,VLOOKUP($I20,DrawPrep!$C$3:$F$34,2,FALSE),"bye")</f>
        <v>ΚΟΚΚΙΝΑΚΗΣ ΓΕΩΡΓΙΟΣ</v>
      </c>
      <c r="K20" s="269" t="str">
        <f t="shared" si="0"/>
        <v>ΚΟΚΚΙΝΑΚΗΣ</v>
      </c>
      <c r="L20" s="270" t="str">
        <f>IF($I20&gt;0,VLOOKUP($I20,DrawPrep!$C$3:$F$34,3,FALSE),"")</f>
        <v>Ο.Α.ΧΑΝΙΩΝ</v>
      </c>
      <c r="M20" s="315"/>
      <c r="N20" s="264"/>
      <c r="O20" s="264">
        <v>4040</v>
      </c>
      <c r="P20" s="313"/>
      <c r="Q20" s="234"/>
      <c r="R20" s="234"/>
      <c r="S20" s="313"/>
      <c r="T20" s="234"/>
      <c r="U20" s="234"/>
      <c r="V20" s="320">
        <v>1</v>
      </c>
      <c r="W20" s="361">
        <f>IF((OR(V20=1,V20=2)),IF(V20=1,W12,W28),"")</f>
        <v>31617</v>
      </c>
      <c r="X20" s="285" t="str">
        <f>UPPER(IF($A$2="R",IF(OR(V20=1,V20="a"),X12,IF(OR(V20=2,V20="b"),X28,"")),IF(OR(V20=1,V20="a"),X12,IF(OR(V20=2,V20="b"),X28,""))))</f>
        <v>ΜΑΤΣΑΜΑΚΗΣ</v>
      </c>
      <c r="Y20" s="68"/>
    </row>
    <row r="21" spans="1:25" ht="11.25" x14ac:dyDescent="0.2">
      <c r="A21" s="271">
        <v>17</v>
      </c>
      <c r="B21" s="221">
        <f>VALUE(Setup!E7)</f>
        <v>5</v>
      </c>
      <c r="C21" s="245"/>
      <c r="D21" s="238">
        <f t="shared" si="1"/>
        <v>3</v>
      </c>
      <c r="E21" s="246">
        <v>0</v>
      </c>
      <c r="F21" s="258">
        <f>IF(NOT($G21="-"),VLOOKUP($G21,DrawPrep!$A$3:$F$34,2,FALSE),"")</f>
        <v>0</v>
      </c>
      <c r="G21" s="273">
        <f>VLOOKUP($B21,Setup!$K$2:$L$33,2,FALSE)</f>
        <v>5</v>
      </c>
      <c r="H21" s="329">
        <f>IF($G21&gt;0,VLOOKUP($G21,DrawPrep!$A$3:$F$34,6,FALSE),0)</f>
        <v>19.5</v>
      </c>
      <c r="I21" s="275">
        <f>IF(Setup!$B$24="#",0,IF($G21&gt;0,VLOOKUP($G21,DrawPrep!$A$3:$F$34,3,FALSE),0))</f>
        <v>37032</v>
      </c>
      <c r="J21" s="276" t="str">
        <f>IF($I21&gt;0,VLOOKUP($I21,DrawPrep!$C$3:$F$34,2,FALSE),"bye")</f>
        <v>ΧΑΛΑΚΑΤΕΒΑΚΗΣ ΑΠΟΣΤΟΛΟΣ</v>
      </c>
      <c r="K21" s="277" t="str">
        <f t="shared" si="0"/>
        <v>ΧΑΛΑΚΑΤΕΒΑΚΗΣ</v>
      </c>
      <c r="L21" s="278" t="str">
        <f>IF($I21&gt;0,VLOOKUP($I21,DrawPrep!$C$3:$F$34,3,FALSE),"")</f>
        <v>Ο.Α.ΧΑΝΙΩΝ</v>
      </c>
      <c r="M21" s="312">
        <v>1</v>
      </c>
      <c r="N21" s="361">
        <f>IF((OR(M21=1,M21=2)),IF(M21=1,I21,I22),"")</f>
        <v>37032</v>
      </c>
      <c r="O21" s="233" t="str">
        <f>UPPER(IF($A$2="R",IF(OR(M21=1,M21="a"),I21,IF(OR(M21=2,M21="b"),I22,"")),IF(OR(M21=1,M21="a"),K21,IF(OR(M21=2,M21="b"),K22,""))))</f>
        <v>ΧΑΛΑΚΑΤΕΒΑΚΗΣ</v>
      </c>
      <c r="P21" s="313"/>
      <c r="Q21" s="234"/>
      <c r="R21" s="234"/>
      <c r="S21" s="314"/>
      <c r="T21" s="259"/>
      <c r="U21" s="234"/>
      <c r="V21" s="313"/>
      <c r="W21" s="234"/>
      <c r="X21" s="286" t="s">
        <v>274</v>
      </c>
      <c r="Y21" s="68"/>
    </row>
    <row r="22" spans="1:25" ht="11.25" x14ac:dyDescent="0.2">
      <c r="A22" s="235">
        <v>18</v>
      </c>
      <c r="B22" s="236">
        <f>13-D22+8</f>
        <v>17</v>
      </c>
      <c r="C22" s="237">
        <f>B21</f>
        <v>5</v>
      </c>
      <c r="D22" s="238">
        <f t="shared" si="1"/>
        <v>4</v>
      </c>
      <c r="E22" s="239">
        <f>IF($B$2&gt;=C22,1,0)</f>
        <v>1</v>
      </c>
      <c r="F22" s="232" t="str">
        <f>IF(NOT($G22="-"),VLOOKUP($G22,DrawPrep!$A$3:$F$34,2,FALSE),"")</f>
        <v/>
      </c>
      <c r="G22" s="232" t="str">
        <f>IF($B$2&gt;=C22,"-",VLOOKUP($B22,Setup!$K$2:$L$33,2,FALSE))</f>
        <v>-</v>
      </c>
      <c r="H22" s="326">
        <f>IF(NOT($G22="-"),VLOOKUP($G22,DrawPrep!$A$3:$F$34,6,FALSE),0)</f>
        <v>0</v>
      </c>
      <c r="I22" s="240">
        <f>IF(Setup!$B$24="#",0,IF(NOT($G22="-"),VLOOKUP($G22,DrawPrep!$A$3:$F$34,3,FALSE),0))</f>
        <v>0</v>
      </c>
      <c r="J22" s="241" t="str">
        <f>IF($I22&gt;0,VLOOKUP($I22,DrawPrep!$C$3:$F$34,2,FALSE),"bye")</f>
        <v>bye</v>
      </c>
      <c r="K22" s="233" t="str">
        <f t="shared" si="0"/>
        <v/>
      </c>
      <c r="L22" s="242" t="str">
        <f>IF($I22&gt;0,VLOOKUP($I22,DrawPrep!$C$3:$F$34,3,FALSE),"")</f>
        <v/>
      </c>
      <c r="M22" s="315"/>
      <c r="N22" s="264"/>
      <c r="O22" s="243"/>
      <c r="P22" s="312">
        <v>2</v>
      </c>
      <c r="Q22" s="361">
        <f>IF((OR(P22=1,P22=2)),IF(P22=1,N21,N23),"")</f>
        <v>37562</v>
      </c>
      <c r="R22" s="233" t="str">
        <f>UPPER(IF($A$2="R",IF(OR(P22=1,P22="a"),O21,IF(OR(P22=2,P22="b"),O23,"")),IF(OR(P22=1,P22="a"),O21,IF(OR(P22=2,P22="b"),O23,""))))</f>
        <v>ΣΤΡΟΜΠΑ</v>
      </c>
      <c r="S22" s="313"/>
      <c r="T22" s="234"/>
      <c r="U22" s="234"/>
      <c r="V22" s="313"/>
      <c r="W22" s="234"/>
      <c r="X22" s="284"/>
      <c r="Y22" s="68"/>
    </row>
    <row r="23" spans="1:25" ht="11.25" x14ac:dyDescent="0.2">
      <c r="A23" s="244">
        <v>19</v>
      </c>
      <c r="B23" s="236">
        <f>14-D23+8</f>
        <v>18</v>
      </c>
      <c r="C23" s="245"/>
      <c r="D23" s="238">
        <f t="shared" si="1"/>
        <v>4</v>
      </c>
      <c r="E23" s="246">
        <v>0</v>
      </c>
      <c r="F23" s="247">
        <f>IF(NOT($G23="-"),VLOOKUP($G23,DrawPrep!$A$3:$F$34,2,FALSE),"")</f>
        <v>0</v>
      </c>
      <c r="G23" s="247">
        <f>VLOOKUP($B23,Setup!$K$2:$L$33,2,FALSE)</f>
        <v>19</v>
      </c>
      <c r="H23" s="327">
        <f>IF($G23&gt;0,VLOOKUP($G23,DrawPrep!$A$3:$F$34,6,FALSE),0)</f>
        <v>0</v>
      </c>
      <c r="I23" s="248">
        <f>IF(Setup!$B$24="#",0,IF($G23&gt;0,VLOOKUP($G23,DrawPrep!$A$3:$F$34,3,FALSE),0))</f>
        <v>37562</v>
      </c>
      <c r="J23" s="249" t="str">
        <f>IF($I23&gt;0,VLOOKUP($I23,DrawPrep!$C$3:$F$34,2,FALSE),"bye")</f>
        <v>ΣΤΡΟΜΠΑ ΙΩΣΗΦ-ΛΑΥΡΕΝΤΗΣ</v>
      </c>
      <c r="K23" s="250" t="str">
        <f t="shared" si="0"/>
        <v>ΣΤΡΟΜΠΑ</v>
      </c>
      <c r="L23" s="251" t="str">
        <f>IF($I23&gt;0,VLOOKUP($I23,DrawPrep!$C$3:$F$34,3,FALSE),"")</f>
        <v>Ο.Α.ΧΑΝΙΩΝ</v>
      </c>
      <c r="M23" s="312">
        <v>1</v>
      </c>
      <c r="N23" s="361">
        <f>IF((OR(M23=1,M23=2)),IF(M23=1,I23,I24),"")</f>
        <v>37562</v>
      </c>
      <c r="O23" s="233" t="str">
        <f>UPPER(IF($A$2="R",IF(OR(M23=1,M23="a"),I23,IF(OR(M23=2,M23="b"),I24,"")),IF(OR(M23=1,M23="a"),K23,IF(OR(M23=2,M23="b"),K24,""))))</f>
        <v>ΣΤΡΟΜΠΑ</v>
      </c>
      <c r="P23" s="315"/>
      <c r="Q23" s="264"/>
      <c r="R23" s="243" t="s">
        <v>267</v>
      </c>
      <c r="S23" s="313"/>
      <c r="T23" s="234"/>
      <c r="U23" s="234"/>
      <c r="V23" s="313"/>
      <c r="W23" s="234"/>
      <c r="X23" s="284"/>
      <c r="Y23" s="68"/>
    </row>
    <row r="24" spans="1:25" ht="11.25" x14ac:dyDescent="0.2">
      <c r="A24" s="252">
        <v>20</v>
      </c>
      <c r="B24" s="236">
        <f>15-D24+8</f>
        <v>19</v>
      </c>
      <c r="C24" s="237">
        <v>12</v>
      </c>
      <c r="D24" s="238">
        <f t="shared" si="1"/>
        <v>4</v>
      </c>
      <c r="E24" s="239">
        <f>IF($B$2&gt;=C24,1,0)</f>
        <v>0</v>
      </c>
      <c r="F24" s="253">
        <f>IF(NOT($G24="-"),VLOOKUP($G24,DrawPrep!$A$3:$F$34,2,FALSE),"")</f>
        <v>0</v>
      </c>
      <c r="G24" s="253">
        <f>IF($B$2&gt;=C24,"-",VLOOKUP($B24,Setup!$K$2:$L$33,2,FALSE))</f>
        <v>17</v>
      </c>
      <c r="H24" s="328">
        <f>IF(NOT($G24="-"),VLOOKUP($G24,DrawPrep!$A$3:$F$34,6,FALSE),0)</f>
        <v>1.5</v>
      </c>
      <c r="I24" s="254">
        <f>IF(Setup!$B$24="#",0,IF(NOT($G24="-"),VLOOKUP($G24,DrawPrep!$A$3:$F$34,3,FALSE),0))</f>
        <v>33835</v>
      </c>
      <c r="J24" s="255" t="str">
        <f>IF($I24&gt;0,VLOOKUP($I24,DrawPrep!$C$3:$F$34,2,FALSE),"bye")</f>
        <v>ΒΕΓΟΠΟΥΛΟΣ ΧΑΡΑΛΑΜΠΟΣ</v>
      </c>
      <c r="K24" s="256" t="str">
        <f t="shared" si="0"/>
        <v>ΒΕΓΟΠΟΥΛΟΣ</v>
      </c>
      <c r="L24" s="257" t="str">
        <f>IF($I24&gt;0,VLOOKUP($I24,DrawPrep!$C$3:$F$34,3,FALSE),"")</f>
        <v>ΦΙΛΙΑ Τ.Κ.</v>
      </c>
      <c r="M24" s="315"/>
      <c r="N24" s="234"/>
      <c r="O24" s="259" t="s">
        <v>261</v>
      </c>
      <c r="P24" s="313"/>
      <c r="Q24" s="234"/>
      <c r="R24" s="260"/>
      <c r="S24" s="312">
        <v>2</v>
      </c>
      <c r="T24" s="361">
        <f>IF((OR(S24=1,S24=2)),IF(S24=1,Q22,Q26),"")</f>
        <v>33396</v>
      </c>
      <c r="U24" s="233" t="str">
        <f>UPPER(IF($A$2="R",IF(OR(S24=1,S24="a"),R22,IF(OR(S24=2,S24="b"),R26,"")),IF(OR(S24=1,S24="a"),R22,IF(OR(S24=2,S24="b"),R26,""))))</f>
        <v>ΖΕΡΒΟΣ</v>
      </c>
      <c r="V24" s="313"/>
      <c r="W24" s="234"/>
      <c r="X24" s="284"/>
      <c r="Y24" s="68"/>
    </row>
    <row r="25" spans="1:25" ht="11.25" x14ac:dyDescent="0.2">
      <c r="A25" s="271">
        <v>21</v>
      </c>
      <c r="B25" s="236">
        <f>16-D25+8</f>
        <v>20</v>
      </c>
      <c r="C25" s="245"/>
      <c r="D25" s="238">
        <f t="shared" si="1"/>
        <v>4</v>
      </c>
      <c r="E25" s="246">
        <v>0</v>
      </c>
      <c r="F25" s="258">
        <f>IF(NOT($G25="-"),VLOOKUP($G25,DrawPrep!$A$3:$F$34,2,FALSE),"")</f>
        <v>0</v>
      </c>
      <c r="G25" s="258">
        <f>VLOOKUP($B25,Setup!$K$2:$L$33,2,FALSE)</f>
        <v>11</v>
      </c>
      <c r="H25" s="329">
        <f>IF($G25&gt;0,VLOOKUP($G25,DrawPrep!$A$3:$F$34,6,FALSE),0)</f>
        <v>10.5</v>
      </c>
      <c r="I25" s="274">
        <f>IF(Setup!$B$24="#",0,IF($G25&gt;0,VLOOKUP($G25,DrawPrep!$A$3:$F$34,3,FALSE),0))</f>
        <v>37669</v>
      </c>
      <c r="J25" s="281" t="str">
        <f>IF($I25&gt;0,VLOOKUP($I25,DrawPrep!$C$3:$F$34,2,FALSE),"bye")</f>
        <v>ΜΑΡΑΚΗΣ ΜΙΧΑΗΛ</v>
      </c>
      <c r="K25" s="282" t="str">
        <f t="shared" si="0"/>
        <v>ΜΑΡΑΚΗΣ</v>
      </c>
      <c r="L25" s="283" t="str">
        <f>IF($I25&gt;0,VLOOKUP($I25,DrawPrep!$C$3:$F$34,3,FALSE),"")</f>
        <v>Ο.Α.ΧΑΝΙΩΝ</v>
      </c>
      <c r="M25" s="312">
        <v>1</v>
      </c>
      <c r="N25" s="361">
        <f>IF((OR(M25=1,M25=2)),IF(M25=1,I25,I26),"")</f>
        <v>37669</v>
      </c>
      <c r="O25" s="233" t="str">
        <f>UPPER(IF($A$2="R",IF(OR(M25=1,M25="a"),I25,IF(OR(M25=2,M25="b"),I26,"")),IF(OR(M25=1,M25="a"),K25,IF(OR(M25=2,M25="b"),K26,""))))</f>
        <v>ΜΑΡΑΚΗΣ</v>
      </c>
      <c r="P25" s="313"/>
      <c r="Q25" s="234"/>
      <c r="R25" s="260"/>
      <c r="S25" s="313"/>
      <c r="T25" s="234"/>
      <c r="U25" s="264" t="s">
        <v>268</v>
      </c>
      <c r="V25" s="318"/>
      <c r="W25" s="234"/>
      <c r="X25" s="284"/>
      <c r="Y25" s="68"/>
    </row>
    <row r="26" spans="1:25" ht="11.25" x14ac:dyDescent="0.2">
      <c r="A26" s="271">
        <v>22</v>
      </c>
      <c r="B26" s="236">
        <f>17-D26+8</f>
        <v>21</v>
      </c>
      <c r="C26" s="237">
        <v>14</v>
      </c>
      <c r="D26" s="238">
        <f t="shared" si="1"/>
        <v>4</v>
      </c>
      <c r="E26" s="239">
        <f>IF($B$2&gt;=C26,1,0)</f>
        <v>0</v>
      </c>
      <c r="F26" s="258">
        <f>IF(NOT($G26="-"),VLOOKUP($G26,DrawPrep!$A$3:$F$34,2,FALSE),"")</f>
        <v>0</v>
      </c>
      <c r="G26" s="258">
        <f>IF($B$2&gt;=C26,"-",VLOOKUP($B26,Setup!$K$2:$L$33,2,FALSE))</f>
        <v>15</v>
      </c>
      <c r="H26" s="329">
        <f>IF(NOT($G26="-"),VLOOKUP($G26,DrawPrep!$A$3:$F$34,6,FALSE),0)</f>
        <v>2.5</v>
      </c>
      <c r="I26" s="274">
        <f>IF(Setup!$B$24="#",0,IF(NOT($G26="-"),VLOOKUP($G26,DrawPrep!$A$3:$F$34,3,FALSE),0))</f>
        <v>37471</v>
      </c>
      <c r="J26" s="281" t="str">
        <f>IF($I26&gt;0,VLOOKUP($I26,DrawPrep!$C$3:$F$34,2,FALSE),"bye")</f>
        <v>ΞΙΑΡΧΟΣ ΕΜΜΑΝΟΥΗΛ</v>
      </c>
      <c r="K26" s="282" t="str">
        <f t="shared" si="0"/>
        <v>ΞΙΑΡΧΟΣ</v>
      </c>
      <c r="L26" s="283" t="str">
        <f>IF($I26&gt;0,VLOOKUP($I26,DrawPrep!$C$3:$F$34,3,FALSE),"")</f>
        <v>Α.Ο.ΛΑΤΩ ΑΓ.ΝΙΚΟΛΑΟΥ</v>
      </c>
      <c r="M26" s="315"/>
      <c r="N26" s="264"/>
      <c r="O26" s="243" t="s">
        <v>262</v>
      </c>
      <c r="P26" s="312">
        <v>2</v>
      </c>
      <c r="Q26" s="361">
        <f>IF((OR(P26=1,P26=2)),IF(P26=1,N25,N27),"")</f>
        <v>33396</v>
      </c>
      <c r="R26" s="233" t="str">
        <f>UPPER(IF($A$2="R",IF(OR(P26=1,P26="a"),O25,IF(OR(P26=2,P26="b"),O27,"")),IF(OR(P26=1,P26="a"),O25,IF(OR(P26=2,P26="b"),O27,""))))</f>
        <v>ΖΕΡΒΟΣ</v>
      </c>
      <c r="S26" s="318"/>
      <c r="T26" s="234"/>
      <c r="U26" s="234"/>
      <c r="V26" s="318"/>
      <c r="W26" s="234"/>
      <c r="X26" s="284"/>
      <c r="Y26" s="68"/>
    </row>
    <row r="27" spans="1:25" ht="11.25" x14ac:dyDescent="0.2">
      <c r="A27" s="244">
        <v>23</v>
      </c>
      <c r="B27" s="236">
        <f>18-D27+8</f>
        <v>21</v>
      </c>
      <c r="C27" s="280">
        <f>B28</f>
        <v>4</v>
      </c>
      <c r="D27" s="238">
        <f t="shared" si="1"/>
        <v>5</v>
      </c>
      <c r="E27" s="239">
        <f>IF($B$2&gt;=C27,1,0)</f>
        <v>1</v>
      </c>
      <c r="F27" s="247" t="str">
        <f>IF(NOT($G27="-"),VLOOKUP($G27,DrawPrep!$A$3:$F$34,2,FALSE),"")</f>
        <v/>
      </c>
      <c r="G27" s="247" t="str">
        <f>IF($B$2&gt;=C27,"-",VLOOKUP($B27,Setup!$K$2:$L$33,2,FALSE))</f>
        <v>-</v>
      </c>
      <c r="H27" s="327">
        <f>IF(NOT($G27="-"),VLOOKUP($G27,DrawPrep!$A$3:$F$34,6,FALSE),0)</f>
        <v>0</v>
      </c>
      <c r="I27" s="248">
        <f>IF(Setup!$B$24="#",0,IF(NOT($G27="-"),VLOOKUP($G27,DrawPrep!$A$3:$F$34,3,FALSE),0))</f>
        <v>0</v>
      </c>
      <c r="J27" s="249" t="str">
        <f>IF($I27&gt;0,VLOOKUP($I27,DrawPrep!$C$3:$F$34,2,FALSE),"bye")</f>
        <v>bye</v>
      </c>
      <c r="K27" s="250" t="str">
        <f t="shared" si="0"/>
        <v/>
      </c>
      <c r="L27" s="251" t="str">
        <f>IF($I27&gt;0,VLOOKUP($I27,DrawPrep!$C$3:$F$34,3,FALSE),"")</f>
        <v/>
      </c>
      <c r="M27" s="312">
        <v>2</v>
      </c>
      <c r="N27" s="361">
        <f>IF((OR(M27=1,M27=2)),IF(M27=1,I27,I28),"")</f>
        <v>33396</v>
      </c>
      <c r="O27" s="233" t="str">
        <f>UPPER(IF($A$2="R",IF(OR(M27=1,M27="a"),I27,IF(OR(M27=2,M27="b"),I28,"")),IF(OR(M27=1,M27="a"),K27,IF(OR(M27=2,M27="b"),K28,""))))</f>
        <v>ΖΕΡΒΟΣ</v>
      </c>
      <c r="P27" s="315"/>
      <c r="Q27" s="264"/>
      <c r="R27" s="264" t="s">
        <v>266</v>
      </c>
      <c r="S27" s="313"/>
      <c r="T27" s="234"/>
      <c r="U27" s="234"/>
      <c r="V27" s="318"/>
      <c r="W27" s="234"/>
      <c r="X27" s="284"/>
      <c r="Y27" s="68"/>
    </row>
    <row r="28" spans="1:25" ht="11.25" x14ac:dyDescent="0.2">
      <c r="A28" s="252">
        <v>24</v>
      </c>
      <c r="B28" s="287">
        <f>VALUE(Setup!E3)</f>
        <v>4</v>
      </c>
      <c r="C28" s="245"/>
      <c r="D28" s="238">
        <f t="shared" si="1"/>
        <v>5</v>
      </c>
      <c r="E28" s="246">
        <v>0</v>
      </c>
      <c r="F28" s="253">
        <f>IF(NOT($G28="-"),VLOOKUP($G28,DrawPrep!$A$3:$F$34,2,FALSE),"")</f>
        <v>0</v>
      </c>
      <c r="G28" s="266">
        <f>VLOOKUP($B28,Setup!$K$2:$L$33,2,FALSE)</f>
        <v>4</v>
      </c>
      <c r="H28" s="328">
        <f>IF($G28&gt;0,VLOOKUP($G28,DrawPrep!$A$3:$F$34,6,FALSE),0)</f>
        <v>21.5</v>
      </c>
      <c r="I28" s="267">
        <f>IF(Setup!$B$24="#",0,IF($G28&gt;0,VLOOKUP($G28,DrawPrep!$A$3:$F$34,3,FALSE),0))</f>
        <v>33396</v>
      </c>
      <c r="J28" s="268" t="str">
        <f>IF($I28&gt;0,VLOOKUP($I28,DrawPrep!$C$3:$F$34,2,FALSE),"bye")</f>
        <v>ΖΕΡΒΟΣ ΣΤΥΛΙΑΝΟΣ</v>
      </c>
      <c r="K28" s="269" t="str">
        <f t="shared" si="0"/>
        <v>ΖΕΡΒΟΣ</v>
      </c>
      <c r="L28" s="270" t="str">
        <f>IF($I28&gt;0,VLOOKUP($I28,DrawPrep!$C$3:$F$34,3,FALSE),"")</f>
        <v>Ο.Α.ΧΑΝΙΩΝ</v>
      </c>
      <c r="M28" s="315"/>
      <c r="N28" s="264"/>
      <c r="O28" s="264"/>
      <c r="P28" s="314"/>
      <c r="Q28" s="259"/>
      <c r="R28" s="234"/>
      <c r="S28" s="314"/>
      <c r="T28" s="259"/>
      <c r="U28" s="234"/>
      <c r="V28" s="312">
        <v>2</v>
      </c>
      <c r="W28" s="361">
        <f>IF((OR(V28=1,V28=2)),IF(V28=1,T24,T32),"")</f>
        <v>36263</v>
      </c>
      <c r="X28" s="288" t="str">
        <f>UPPER(IF($A$2="R",IF(OR(V28=1,V28="a"),U24,IF(OR(V28=2,V28="b"),U32,"")),IF(OR(V28=1,V28="a"),U24,IF(OR(V28=2,V28="b"),U32,""))))</f>
        <v>ΜΑΝΔΑΛΕΝΑΚΗΣ</v>
      </c>
      <c r="Y28" s="68"/>
    </row>
    <row r="29" spans="1:25" ht="11.25" x14ac:dyDescent="0.2">
      <c r="A29" s="271">
        <v>25</v>
      </c>
      <c r="B29" s="221">
        <f>VALUE(Setup!E8)</f>
        <v>8</v>
      </c>
      <c r="C29" s="245"/>
      <c r="D29" s="238">
        <f t="shared" si="1"/>
        <v>5</v>
      </c>
      <c r="E29" s="246">
        <v>0</v>
      </c>
      <c r="F29" s="258">
        <f>IF(NOT($G29="-"),VLOOKUP($G29,DrawPrep!$A$3:$F$34,2,FALSE),"")</f>
        <v>0</v>
      </c>
      <c r="G29" s="273">
        <f>VLOOKUP($B29,Setup!$K$2:$L$33,2,FALSE)</f>
        <v>8</v>
      </c>
      <c r="H29" s="329">
        <f>IF($G29&gt;0,VLOOKUP($G29,DrawPrep!$A$3:$F$34,6,FALSE),0)</f>
        <v>14.5</v>
      </c>
      <c r="I29" s="275">
        <f>IF(Setup!$B$24="#",0,IF($G29&gt;0,VLOOKUP($G29,DrawPrep!$A$3:$F$34,3,FALSE),0))</f>
        <v>35629</v>
      </c>
      <c r="J29" s="276" t="str">
        <f>IF($I29&gt;0,VLOOKUP($I29,DrawPrep!$C$3:$F$34,2,FALSE),"bye")</f>
        <v>ΣΠΥΡΟΠΟΥΛΟΣ ΝΙΚΟΛΑΟΣ</v>
      </c>
      <c r="K29" s="277" t="str">
        <f t="shared" si="0"/>
        <v>ΣΠΥΡΟΠΟΥΛΟΣ</v>
      </c>
      <c r="L29" s="278" t="str">
        <f>IF($I29&gt;0,VLOOKUP($I29,DrawPrep!$C$3:$F$34,3,FALSE),"")</f>
        <v>Ο.Α.ΡΕΘΥΜΝΟΥ</v>
      </c>
      <c r="M29" s="312">
        <v>1</v>
      </c>
      <c r="N29" s="361">
        <f>IF((OR(M29=1,M29=2)),IF(M29=1,I29,I30),"")</f>
        <v>35629</v>
      </c>
      <c r="O29" s="233" t="str">
        <f>UPPER(IF($A$2="R",IF(OR(M29=1,M29="a"),I29,IF(OR(M29=2,M29="b"),I30,"")),IF(OR(M29=1,M29="a"),K29,IF(OR(M29=2,M29="b"),K30,""))))</f>
        <v>ΣΠΥΡΟΠΟΥΛΟΣ</v>
      </c>
      <c r="P29" s="313"/>
      <c r="Q29" s="234"/>
      <c r="R29" s="234"/>
      <c r="S29" s="314"/>
      <c r="T29" s="259"/>
      <c r="U29" s="260"/>
      <c r="V29" s="313"/>
      <c r="W29" s="234"/>
      <c r="X29" s="258" t="s">
        <v>272</v>
      </c>
      <c r="Y29" s="68"/>
    </row>
    <row r="30" spans="1:25" ht="11.25" x14ac:dyDescent="0.2">
      <c r="A30" s="235">
        <v>26</v>
      </c>
      <c r="B30" s="236">
        <f>19-D30+8</f>
        <v>22</v>
      </c>
      <c r="C30" s="237">
        <f>B29</f>
        <v>8</v>
      </c>
      <c r="D30" s="238">
        <f t="shared" si="1"/>
        <v>5</v>
      </c>
      <c r="E30" s="239">
        <f>IF($B$2&gt;=C30,1,0)</f>
        <v>0</v>
      </c>
      <c r="F30" s="232">
        <f>IF(NOT($G30="-"),VLOOKUP($G30,DrawPrep!$A$3:$F$34,2,FALSE),"")</f>
        <v>0</v>
      </c>
      <c r="G30" s="232">
        <f>IF($B$2&gt;=C30,"-",VLOOKUP($B30,Setup!$K$2:$L$33,2,FALSE))</f>
        <v>23</v>
      </c>
      <c r="H30" s="326">
        <f>IF(NOT($G30="-"),VLOOKUP($G30,DrawPrep!$A$3:$F$34,6,FALSE),0)</f>
        <v>0</v>
      </c>
      <c r="I30" s="240">
        <f>IF(Setup!$B$24="#",0,IF(NOT($G30="-"),VLOOKUP($G30,DrawPrep!$A$3:$F$34,3,FALSE),0))</f>
        <v>38017</v>
      </c>
      <c r="J30" s="241" t="str">
        <f>IF($I30&gt;0,VLOOKUP($I30,DrawPrep!$C$3:$F$34,2,FALSE),"bye")</f>
        <v>ΝΕΚΤΑΡΙΟΣ ΑΘΑΝΑΣΙΟΣ</v>
      </c>
      <c r="K30" s="233" t="str">
        <f t="shared" si="0"/>
        <v>ΝΕΚΤΑΡΙΟΣ</v>
      </c>
      <c r="L30" s="242" t="str">
        <f>IF($I30&gt;0,VLOOKUP($I30,DrawPrep!$C$3:$F$34,3,FALSE),"")</f>
        <v>ΗΡΑΚΛΕΙΟ Ο.Α.&amp; Α.</v>
      </c>
      <c r="M30" s="315"/>
      <c r="N30" s="264"/>
      <c r="O30" s="243" t="s">
        <v>260</v>
      </c>
      <c r="P30" s="312">
        <v>1</v>
      </c>
      <c r="Q30" s="361">
        <f>IF((OR(P30=1,P30=2)),IF(P30=1,N29,N31),"")</f>
        <v>35629</v>
      </c>
      <c r="R30" s="233" t="str">
        <f>UPPER(IF($A$2="R",IF(OR(P30=1,P30="a"),O29,IF(OR(P30=2,P30="b"),O31,"")),IF(OR(P30=1,P30="a"),O29,IF(OR(P30=2,P30="b"),O31,""))))</f>
        <v>ΣΠΥΡΟΠΟΥΛΟΣ</v>
      </c>
      <c r="S30" s="313"/>
      <c r="T30" s="234"/>
      <c r="U30" s="260"/>
      <c r="V30" s="313"/>
      <c r="W30" s="234"/>
      <c r="X30" s="234"/>
      <c r="Y30" s="68"/>
    </row>
    <row r="31" spans="1:25" ht="11.25" x14ac:dyDescent="0.2">
      <c r="A31" s="289">
        <v>27</v>
      </c>
      <c r="B31" s="236">
        <f>20-D31+8</f>
        <v>23</v>
      </c>
      <c r="C31" s="245"/>
      <c r="D31" s="238">
        <f t="shared" si="1"/>
        <v>5</v>
      </c>
      <c r="E31" s="246">
        <v>0</v>
      </c>
      <c r="F31" s="290">
        <f>IF(NOT($G31="-"),VLOOKUP($G31,DrawPrep!$A$3:$F$34,2,FALSE),"")</f>
        <v>0</v>
      </c>
      <c r="G31" s="290">
        <f>VLOOKUP($B31,Setup!$K$2:$L$33,2,FALSE)</f>
        <v>16</v>
      </c>
      <c r="H31" s="330">
        <f>IF($G31&gt;0,VLOOKUP($G31,DrawPrep!$A$3:$F$34,6,FALSE),0)</f>
        <v>2</v>
      </c>
      <c r="I31" s="291">
        <f>IF(Setup!$B$24="#",0,IF($G31&gt;0,VLOOKUP($G31,DrawPrep!$A$3:$F$34,3,FALSE),0))</f>
        <v>38697</v>
      </c>
      <c r="J31" s="292" t="str">
        <f>IF($I31&gt;0,VLOOKUP($I31,DrawPrep!$C$3:$F$34,2,FALSE),"bye")</f>
        <v>ΤΑΒΕΡΝΑΡΑΚΗΣ ΕΜΜΑΝΟΥΗΛ</v>
      </c>
      <c r="K31" s="293" t="str">
        <f t="shared" si="0"/>
        <v>ΤΑΒΕΡΝΑΡΑΚΗΣ</v>
      </c>
      <c r="L31" s="294" t="str">
        <f>IF($I31&gt;0,VLOOKUP($I31,DrawPrep!$C$3:$F$34,3,FALSE),"")</f>
        <v>ΗΡΑΚΛΕΙΟ Ο.Α.&amp; Α.</v>
      </c>
      <c r="M31" s="312">
        <v>1</v>
      </c>
      <c r="N31" s="361">
        <f>IF((OR(M31=1,M31=2)),IF(M31=1,I31,I32),"")</f>
        <v>38697</v>
      </c>
      <c r="O31" s="233" t="str">
        <f>UPPER(IF($A$2="R",IF(OR(M31=1,M31="a"),I31,IF(OR(M31=2,M31="b"),I32,"")),IF(OR(M31=1,M31="a"),K31,IF(OR(M31=2,M31="b"),K32,""))))</f>
        <v>ΤΑΒΕΡΝΑΡΑΚΗΣ</v>
      </c>
      <c r="P31" s="315"/>
      <c r="Q31" s="264"/>
      <c r="R31" s="243" t="s">
        <v>265</v>
      </c>
      <c r="S31" s="313"/>
      <c r="T31" s="234"/>
      <c r="U31" s="260"/>
      <c r="V31" s="313"/>
      <c r="W31" s="234"/>
      <c r="X31" s="234"/>
      <c r="Y31" s="68"/>
    </row>
    <row r="32" spans="1:25" ht="11.25" x14ac:dyDescent="0.2">
      <c r="A32" s="289">
        <v>28</v>
      </c>
      <c r="B32" s="236">
        <f>21-D32+8</f>
        <v>24</v>
      </c>
      <c r="C32" s="237">
        <v>10</v>
      </c>
      <c r="D32" s="238">
        <f t="shared" si="1"/>
        <v>5</v>
      </c>
      <c r="E32" s="239">
        <f>IF($B$2&gt;=C32,1,0)</f>
        <v>0</v>
      </c>
      <c r="F32" s="290">
        <f>IF(NOT($G32="-"),VLOOKUP($G32,DrawPrep!$A$3:$F$34,2,FALSE),"")</f>
        <v>0</v>
      </c>
      <c r="G32" s="290">
        <f>IF($B$2&gt;=C32,"-",VLOOKUP($B32,Setup!$K$2:$L$33,2,FALSE))</f>
        <v>14</v>
      </c>
      <c r="H32" s="330">
        <f>IF(NOT($G32="-"),VLOOKUP($G32,DrawPrep!$A$3:$F$34,6,FALSE),0)</f>
        <v>5</v>
      </c>
      <c r="I32" s="291">
        <f>IF(Setup!$B$24="#",0,IF(NOT($G32="-"),VLOOKUP($G32,DrawPrep!$A$3:$F$34,3,FALSE),0))</f>
        <v>33985</v>
      </c>
      <c r="J32" s="292" t="str">
        <f>IF($I32&gt;0,VLOOKUP($I32,DrawPrep!$C$3:$F$34,2,FALSE),"bye")</f>
        <v>ΤΣΙΤΟΥΝΗΣ ΜΙΧΑΛΗΣ</v>
      </c>
      <c r="K32" s="293" t="str">
        <f t="shared" si="0"/>
        <v>ΤΣΙΤΟΥΝΗΣ</v>
      </c>
      <c r="L32" s="294" t="str">
        <f>IF($I32&gt;0,VLOOKUP($I32,DrawPrep!$C$3:$F$34,3,FALSE),"")</f>
        <v>ΦΙΛΙΑ Τ.Κ.</v>
      </c>
      <c r="M32" s="319"/>
      <c r="N32" s="234"/>
      <c r="O32" s="259" t="s">
        <v>263</v>
      </c>
      <c r="P32" s="313"/>
      <c r="Q32" s="234"/>
      <c r="R32" s="260"/>
      <c r="S32" s="312">
        <v>2</v>
      </c>
      <c r="T32" s="361">
        <f>IF((OR(S32=1,S32=2)),IF(S32=1,Q30,Q34),"")</f>
        <v>36263</v>
      </c>
      <c r="U32" s="233" t="str">
        <f>UPPER(IF($A$2="R",IF(OR(S32=1,S32="a"),R30,IF(OR(S32=2,S32="b"),R34,"")),IF(OR(S32=1,S32="a"),R30,IF(OR(S32=2,S32="b"),R34,""))))</f>
        <v>ΜΑΝΔΑΛΕΝΑΚΗΣ</v>
      </c>
      <c r="V32" s="318"/>
      <c r="W32" s="234"/>
      <c r="X32" s="234"/>
      <c r="Y32" s="68"/>
    </row>
    <row r="33" spans="1:25" ht="12" customHeight="1" x14ac:dyDescent="0.2">
      <c r="A33" s="220">
        <v>29</v>
      </c>
      <c r="B33" s="236">
        <f>22-D33+8</f>
        <v>25</v>
      </c>
      <c r="C33" s="245"/>
      <c r="D33" s="238">
        <f t="shared" si="1"/>
        <v>5</v>
      </c>
      <c r="E33" s="246">
        <v>0</v>
      </c>
      <c r="F33" s="225">
        <f>IF(NOT($G33="-"),VLOOKUP($G33,DrawPrep!$A$3:$F$34,2,FALSE),"")</f>
        <v>0</v>
      </c>
      <c r="G33" s="225">
        <f>VLOOKUP($B33,Setup!$K$2:$L$33,2,FALSE)</f>
        <v>24</v>
      </c>
      <c r="H33" s="325">
        <f>IF($G33&gt;0,VLOOKUP($G33,DrawPrep!$A$3:$F$34,6,FALSE),0)</f>
        <v>0</v>
      </c>
      <c r="I33" s="227">
        <f>IF(Setup!$B$24="#",0,IF($G33&gt;0,VLOOKUP($G33,DrawPrep!$A$3:$F$34,3,FALSE),0))</f>
        <v>36616</v>
      </c>
      <c r="J33" s="261" t="str">
        <f>IF($I33&gt;0,VLOOKUP($I33,DrawPrep!$C$3:$F$34,2,FALSE),"bye")</f>
        <v>ΚΟΚΚΑΛΗΣ ΣΤΥΛΙΑΝΟΣ</v>
      </c>
      <c r="K33" s="262" t="str">
        <f t="shared" si="0"/>
        <v>ΚΟΚΚΑΛΗΣ</v>
      </c>
      <c r="L33" s="263" t="str">
        <f>IF($I33&gt;0,VLOOKUP($I33,DrawPrep!$C$3:$F$34,3,FALSE),"")</f>
        <v>Γ.Σ.ΛΙΒΥΚΟΣ ΙΕΡΑΠΕΤΡΑΣ</v>
      </c>
      <c r="M33" s="317">
        <v>2</v>
      </c>
      <c r="N33" s="361">
        <f>IF((OR(M33=1,M33=2)),IF(M33=1,I33,I34),"")</f>
        <v>37664</v>
      </c>
      <c r="O33" s="233" t="str">
        <f>UPPER(IF($A$2="R",IF(OR(M33=1,M33="a"),I33,IF(OR(M33=2,M33="b"),I34,"")),IF(OR(M33=1,M33="a"),K33,IF(OR(M33=2,M33="b"),K34,""))))</f>
        <v>ΚΑΫΜΕΝΑΚΗΣ</v>
      </c>
      <c r="P33" s="313"/>
      <c r="Q33" s="234"/>
      <c r="R33" s="260"/>
      <c r="S33" s="313"/>
      <c r="T33" s="234"/>
      <c r="U33" s="234" t="s">
        <v>260</v>
      </c>
      <c r="V33" s="313"/>
      <c r="W33" s="234"/>
      <c r="X33" s="234"/>
    </row>
    <row r="34" spans="1:25" ht="12" customHeight="1" x14ac:dyDescent="0.2">
      <c r="A34" s="235">
        <v>30</v>
      </c>
      <c r="B34" s="236">
        <f>23-D34+8</f>
        <v>26</v>
      </c>
      <c r="C34" s="237">
        <v>16</v>
      </c>
      <c r="D34" s="238">
        <f t="shared" si="1"/>
        <v>5</v>
      </c>
      <c r="E34" s="239">
        <f>IF($B$2&gt;=C34,1,0)</f>
        <v>0</v>
      </c>
      <c r="F34" s="232">
        <f>IF(NOT($G34="-"),VLOOKUP($G34,DrawPrep!$A$3:$F$34,2,FALSE),"")</f>
        <v>0</v>
      </c>
      <c r="G34" s="232">
        <f>IF($B$2&gt;=C34,"-",VLOOKUP($B34,Setup!$K$2:$L$33,2,FALSE))</f>
        <v>13</v>
      </c>
      <c r="H34" s="326">
        <f>IF(NOT($G34="-"),VLOOKUP($G34,DrawPrep!$A$3:$F$34,6,FALSE),0)</f>
        <v>7.25</v>
      </c>
      <c r="I34" s="240">
        <f>IF(Setup!$B$24="#",0,IF(NOT($G34="-"),VLOOKUP($G34,DrawPrep!$A$3:$F$34,3,FALSE),0))</f>
        <v>37664</v>
      </c>
      <c r="J34" s="241" t="str">
        <f>IF($I34&gt;0,VLOOKUP($I34,DrawPrep!$C$3:$F$34,2,FALSE),"bye")</f>
        <v>ΚΑΫΜΕΝΑΚΗΣ ΑΡΙΣΤΟΤΕΛΗΣ</v>
      </c>
      <c r="K34" s="233" t="str">
        <f t="shared" si="0"/>
        <v>ΚΑΫΜΕΝΑΚΗΣ</v>
      </c>
      <c r="L34" s="242" t="str">
        <f>IF($I34&gt;0,VLOOKUP($I34,DrawPrep!$C$3:$F$34,3,FALSE),"")</f>
        <v>Ο.Α.ΧΑΝΙΩΝ</v>
      </c>
      <c r="M34" s="315"/>
      <c r="N34" s="264"/>
      <c r="O34" s="243" t="s">
        <v>261</v>
      </c>
      <c r="P34" s="312">
        <v>2</v>
      </c>
      <c r="Q34" s="361">
        <f>IF((OR(P34=1,P34=2)),IF(P34=1,N33,N35),"")</f>
        <v>36263</v>
      </c>
      <c r="R34" s="233" t="str">
        <f>UPPER(IF($A$2="R",IF(OR(P34=1,P34="a"),O33,IF(OR(P34=2,P34="b"),O35,"")),IF(OR(P34=1,P34="a"),O33,IF(OR(P34=2,P34="b"),O35,""))))</f>
        <v>ΜΑΝΔΑΛΕΝΑΚΗΣ</v>
      </c>
      <c r="S34" s="318"/>
      <c r="T34" s="234"/>
      <c r="U34" s="234"/>
      <c r="V34" s="313"/>
      <c r="W34" s="234"/>
      <c r="X34" s="234"/>
    </row>
    <row r="35" spans="1:25" ht="12" customHeight="1" x14ac:dyDescent="0.2">
      <c r="A35" s="244">
        <v>31</v>
      </c>
      <c r="B35" s="236">
        <f>24-D35+8</f>
        <v>26</v>
      </c>
      <c r="C35" s="237">
        <f>B36</f>
        <v>2</v>
      </c>
      <c r="D35" s="238">
        <f t="shared" si="1"/>
        <v>6</v>
      </c>
      <c r="E35" s="239">
        <f>IF($B$2&gt;=C35,1,0)</f>
        <v>1</v>
      </c>
      <c r="F35" s="247" t="str">
        <f>IF(NOT($G35="-"),VLOOKUP($G35,DrawPrep!$A$3:$F$34,2,FALSE),"")</f>
        <v/>
      </c>
      <c r="G35" s="247" t="str">
        <f>IF($B$2&gt;=C35,"-",VLOOKUP($B35,Setup!$K$2:$L$33,2,FALSE))</f>
        <v>-</v>
      </c>
      <c r="H35" s="327">
        <f>IF(NOT($G35="-"),VLOOKUP($G35,DrawPrep!$A$3:$F$34,6,FALSE),0)</f>
        <v>0</v>
      </c>
      <c r="I35" s="248">
        <f>IF(Setup!$B$24="#",0,IF(NOT($G35="-"),VLOOKUP($G35,DrawPrep!$A$3:$F$34,3,FALSE),0))</f>
        <v>0</v>
      </c>
      <c r="J35" s="249" t="str">
        <f>IF($I35&gt;0,VLOOKUP($I35,DrawPrep!$C$3:$F$34,2,FALSE),"bye")</f>
        <v>bye</v>
      </c>
      <c r="K35" s="250" t="str">
        <f t="shared" si="0"/>
        <v/>
      </c>
      <c r="L35" s="251" t="str">
        <f>IF($I35&gt;0,VLOOKUP($I35,DrawPrep!$C$3:$F$34,3,FALSE),"")</f>
        <v/>
      </c>
      <c r="M35" s="312">
        <v>2</v>
      </c>
      <c r="N35" s="361">
        <f>IF((OR(M35=1,M35=2)),IF(M35=1,I35,I36),"")</f>
        <v>36263</v>
      </c>
      <c r="O35" s="233" t="str">
        <f>UPPER(IF($A$2="R",IF(OR(M35=1,M35="a"),I35,IF(OR(M35=2,M35="b"),I36,"")),IF(OR(M35=1,M35="a"),K35,IF(OR(M35=2,M35="b"),K36,""))))</f>
        <v>ΜΑΝΔΑΛΕΝΑΚΗΣ</v>
      </c>
      <c r="P35" s="315"/>
      <c r="Q35" s="264"/>
      <c r="R35" s="264" t="s">
        <v>264</v>
      </c>
      <c r="S35" s="313"/>
      <c r="T35" s="234"/>
      <c r="U35" s="234"/>
      <c r="V35" s="313"/>
      <c r="W35" s="234"/>
      <c r="X35" s="234"/>
    </row>
    <row r="36" spans="1:25" ht="12" customHeight="1" x14ac:dyDescent="0.2">
      <c r="A36" s="252">
        <v>32</v>
      </c>
      <c r="B36" s="221">
        <v>2</v>
      </c>
      <c r="C36" s="245"/>
      <c r="D36" s="238">
        <f t="shared" si="1"/>
        <v>6</v>
      </c>
      <c r="E36" s="246">
        <v>0</v>
      </c>
      <c r="F36" s="253">
        <f>IF(NOT($G36="-"),VLOOKUP($G36,DrawPrep!$A$3:$F$34,2,FALSE),"")</f>
        <v>0</v>
      </c>
      <c r="G36" s="266">
        <f>VLOOKUP($B36,Setup!$K$2:$L$33,2,FALSE)</f>
        <v>2</v>
      </c>
      <c r="H36" s="328">
        <f>IF($G36&gt;0,VLOOKUP($G36,DrawPrep!$A$3:$F$34,6,FALSE),0)</f>
        <v>28</v>
      </c>
      <c r="I36" s="267">
        <f>IF(Setup!$B$24="#",0,IF($G36&gt;0,VLOOKUP($G36,DrawPrep!$A$3:$F$34,3,FALSE),0))</f>
        <v>36263</v>
      </c>
      <c r="J36" s="268" t="str">
        <f>IF($I36&gt;0,VLOOKUP($I36,DrawPrep!$C$3:$F$34,2,FALSE),"bye")</f>
        <v>ΜΑΝΔΑΛΕΝΑΚΗΣ ΑΝΑΣΤΑΣΙΟΣ</v>
      </c>
      <c r="K36" s="269" t="str">
        <f t="shared" si="0"/>
        <v>ΜΑΝΔΑΛΕΝΑΚΗΣ</v>
      </c>
      <c r="L36" s="270" t="str">
        <f>IF($I36&gt;0,VLOOKUP($I36,DrawPrep!$C$3:$F$34,3,FALSE),"")</f>
        <v>ΗΡΑΚΛΕΙΟ Ο.Α.&amp; Α.</v>
      </c>
      <c r="M36" s="315"/>
      <c r="N36" s="234"/>
      <c r="O36" s="259"/>
      <c r="P36" s="314"/>
      <c r="Q36" s="259"/>
      <c r="R36" s="234"/>
      <c r="S36" s="314"/>
      <c r="T36" s="259"/>
      <c r="U36" s="295"/>
      <c r="V36" s="313"/>
      <c r="W36" s="234"/>
      <c r="X36" s="295"/>
    </row>
    <row r="37" spans="1:25" x14ac:dyDescent="0.2">
      <c r="O37" s="90"/>
      <c r="R37" s="90" t="s">
        <v>22</v>
      </c>
      <c r="U37" s="90" t="s">
        <v>22</v>
      </c>
      <c r="X37" s="90" t="s">
        <v>22</v>
      </c>
    </row>
    <row r="38" spans="1:25" s="91" customFormat="1" x14ac:dyDescent="0.2">
      <c r="C38" s="92"/>
      <c r="D38" s="93"/>
      <c r="E38" s="93"/>
      <c r="G38" s="92"/>
      <c r="H38" s="331"/>
      <c r="I38" s="92"/>
      <c r="J38" s="94" t="s">
        <v>36</v>
      </c>
      <c r="K38" s="95"/>
      <c r="M38" s="96"/>
      <c r="N38" s="128"/>
      <c r="P38" s="97"/>
      <c r="Q38" s="130"/>
      <c r="S38" s="97"/>
      <c r="T38" s="130"/>
      <c r="U38" s="98"/>
      <c r="V38" s="99"/>
      <c r="W38" s="132"/>
      <c r="X38" s="98"/>
      <c r="Y38" s="98"/>
    </row>
    <row r="39" spans="1:25" s="91" customFormat="1" x14ac:dyDescent="0.2">
      <c r="C39" s="92"/>
      <c r="D39" s="93"/>
      <c r="E39" s="93"/>
      <c r="G39" s="92"/>
      <c r="H39" s="331"/>
      <c r="I39" s="92"/>
      <c r="J39" s="333" t="str">
        <f>"1. " &amp; IF(Setup!B19&gt;0,LEFT(DrawPrep!D3,FIND(" ",DrawPrep!D3)+1),"")</f>
        <v>1. ΜΑΤΣΑΜΑΚΗΣ Ε</v>
      </c>
      <c r="K39" s="334"/>
      <c r="L39" s="335" t="str">
        <f>"5. " &amp; IF(Setup!B19&gt;4,LEFT(DrawPrep!D7,FIND(" ",DrawPrep!D7)+1),"")</f>
        <v>5. ΧΑΛΑΚΑΤΕΒΑΚΗΣ Α</v>
      </c>
      <c r="M39" s="101"/>
      <c r="N39" s="129"/>
      <c r="O39" s="101"/>
      <c r="P39" s="97"/>
      <c r="Q39" s="130"/>
      <c r="S39" s="97"/>
      <c r="T39" s="130"/>
      <c r="U39" s="98"/>
      <c r="V39" s="99"/>
      <c r="W39" s="132"/>
      <c r="X39" s="98"/>
      <c r="Y39" s="98"/>
    </row>
    <row r="40" spans="1:25" s="91" customFormat="1" x14ac:dyDescent="0.2">
      <c r="C40" s="92"/>
      <c r="D40" s="93"/>
      <c r="E40" s="93"/>
      <c r="G40" s="92"/>
      <c r="H40" s="331"/>
      <c r="I40" s="92"/>
      <c r="J40" s="333" t="str">
        <f>"2. " &amp; IF(Setup!B19&gt;1,LEFT(DrawPrep!D4,FIND(" ",DrawPrep!D4)+1),"")</f>
        <v>2. ΜΑΝΔΑΛΕΝΑΚΗΣ Α</v>
      </c>
      <c r="K40" s="334"/>
      <c r="L40" s="335" t="str">
        <f>"6. " &amp; IF(Setup!B19&gt;5,LEFT(DrawPrep!D8,FIND(" ",DrawPrep!D8)+1),"")</f>
        <v>6. ΠΕΤΡΑΚΗΣ Σ</v>
      </c>
      <c r="M40" s="96"/>
      <c r="N40" s="128"/>
      <c r="P40" s="97"/>
      <c r="Q40" s="130"/>
      <c r="S40" s="97"/>
      <c r="T40" s="130"/>
      <c r="U40" s="102" t="s">
        <v>37</v>
      </c>
      <c r="V40" s="99"/>
      <c r="W40" s="132"/>
      <c r="Y40" s="98"/>
    </row>
    <row r="41" spans="1:25" s="91" customFormat="1" x14ac:dyDescent="0.2">
      <c r="C41" s="92"/>
      <c r="D41" s="93"/>
      <c r="E41" s="93"/>
      <c r="G41" s="92"/>
      <c r="H41" s="331"/>
      <c r="I41" s="92"/>
      <c r="J41" s="333" t="str">
        <f>"3. " &amp; IF(Setup!B19&gt;2,LEFT(DrawPrep!D5,FIND(" ",DrawPrep!D5)+1),"")</f>
        <v>3. ΓΕΝΝΑΡΑΚΗΣ Ν</v>
      </c>
      <c r="K41" s="334"/>
      <c r="L41" s="335" t="str">
        <f>"7. " &amp; IF(Setup!B19&gt;6,LEFT(DrawPrep!D9,FIND(" ",DrawPrep!D9)+1),"")</f>
        <v>7. ΚΟΚΚΙΝΑΚΗΣ Γ</v>
      </c>
      <c r="M41" s="96"/>
      <c r="N41" s="128"/>
      <c r="P41" s="97"/>
      <c r="Q41" s="130"/>
      <c r="S41" s="97"/>
      <c r="T41" s="130"/>
      <c r="U41" s="377" t="str">
        <f>Setup!B11</f>
        <v>Κ. Χατζηδάκης</v>
      </c>
      <c r="V41" s="377"/>
      <c r="W41" s="377"/>
      <c r="X41" s="377"/>
      <c r="Y41" s="98"/>
    </row>
    <row r="42" spans="1:25" s="91" customFormat="1" x14ac:dyDescent="0.2">
      <c r="C42" s="92"/>
      <c r="D42" s="93"/>
      <c r="E42" s="93"/>
      <c r="G42" s="92"/>
      <c r="H42" s="331"/>
      <c r="I42" s="92"/>
      <c r="J42" s="333" t="str">
        <f>"4. " &amp; IF(Setup!B19&gt;3,LEFT(DrawPrep!D6,FIND(" ",DrawPrep!D6)+1),"")</f>
        <v>4. ΖΕΡΒΟΣ Σ</v>
      </c>
      <c r="K42" s="334"/>
      <c r="L42" s="335" t="str">
        <f>"8. " &amp; IF(Setup!B19&gt;7,LEFT(DrawPrep!D10,FIND(" ",DrawPrep!D10)+1),"")</f>
        <v>8. ΣΠΥΡΟΠΟΥΛΟΣ Ν</v>
      </c>
      <c r="M42" s="96"/>
      <c r="N42" s="128"/>
      <c r="P42" s="97"/>
      <c r="Q42" s="130"/>
      <c r="S42" s="97"/>
      <c r="T42" s="130"/>
      <c r="U42" s="98"/>
      <c r="V42" s="99"/>
      <c r="W42" s="132"/>
      <c r="Y42" s="98"/>
    </row>
    <row r="43" spans="1:25" s="91" customFormat="1" x14ac:dyDescent="0.2">
      <c r="C43" s="92"/>
      <c r="D43" s="93"/>
      <c r="E43" s="93"/>
      <c r="G43" s="92"/>
      <c r="H43" s="331"/>
      <c r="I43" s="92"/>
      <c r="J43" s="100"/>
      <c r="K43" s="98"/>
      <c r="M43" s="96"/>
      <c r="N43" s="128"/>
      <c r="P43" s="97"/>
      <c r="Q43" s="130"/>
      <c r="S43" s="97"/>
      <c r="T43" s="130"/>
      <c r="U43" s="98"/>
      <c r="V43" s="99"/>
      <c r="W43" s="132"/>
      <c r="X43" s="98"/>
      <c r="Y43" s="98"/>
    </row>
    <row r="44" spans="1:25" s="91" customFormat="1" x14ac:dyDescent="0.2">
      <c r="C44" s="92"/>
      <c r="D44" s="93"/>
      <c r="E44" s="93"/>
      <c r="G44" s="92"/>
      <c r="H44" s="331"/>
      <c r="I44" s="92"/>
      <c r="J44" s="100"/>
      <c r="K44" s="98"/>
      <c r="L44" s="98"/>
      <c r="M44" s="96"/>
      <c r="N44" s="128"/>
      <c r="P44" s="97"/>
      <c r="Q44" s="130"/>
      <c r="S44" s="97"/>
      <c r="T44" s="130"/>
      <c r="U44" s="98"/>
      <c r="V44" s="99"/>
      <c r="W44" s="132"/>
      <c r="X44" s="98"/>
      <c r="Y44" s="98"/>
    </row>
    <row r="45" spans="1:25" s="91" customFormat="1" x14ac:dyDescent="0.2">
      <c r="C45" s="92"/>
      <c r="D45" s="93"/>
      <c r="E45" s="93"/>
      <c r="G45" s="92"/>
      <c r="H45" s="331"/>
      <c r="I45" s="92"/>
      <c r="J45" s="100"/>
      <c r="K45" s="98"/>
      <c r="L45" s="98"/>
      <c r="M45" s="96"/>
      <c r="N45" s="128"/>
      <c r="P45" s="97"/>
      <c r="Q45" s="130"/>
      <c r="S45" s="97"/>
      <c r="T45" s="130"/>
      <c r="U45" s="98"/>
      <c r="V45" s="99"/>
      <c r="W45" s="132"/>
      <c r="X45" s="98"/>
      <c r="Y45" s="98"/>
    </row>
    <row r="46" spans="1:25" s="91" customFormat="1" x14ac:dyDescent="0.2">
      <c r="C46" s="92"/>
      <c r="D46" s="93"/>
      <c r="E46" s="93"/>
      <c r="G46" s="92"/>
      <c r="H46" s="331"/>
      <c r="I46" s="92"/>
      <c r="J46" s="100"/>
      <c r="K46" s="98"/>
      <c r="L46" s="98"/>
      <c r="M46" s="96"/>
      <c r="N46" s="128"/>
      <c r="P46" s="97"/>
      <c r="Q46" s="130"/>
      <c r="S46" s="97"/>
      <c r="T46" s="130"/>
      <c r="U46" s="98"/>
      <c r="V46" s="99"/>
      <c r="W46" s="132"/>
      <c r="X46" s="98"/>
      <c r="Y46" s="98"/>
    </row>
    <row r="47" spans="1:25" x14ac:dyDescent="0.2">
      <c r="J47" s="70"/>
      <c r="K47" s="70"/>
      <c r="L47" s="70"/>
      <c r="M47" s="83"/>
      <c r="N47" s="57"/>
    </row>
    <row r="48" spans="1:25" x14ac:dyDescent="0.2">
      <c r="C48" s="68"/>
      <c r="D48" s="68"/>
      <c r="E48" s="68"/>
      <c r="G48" s="68"/>
      <c r="H48" s="332"/>
      <c r="I48" s="71"/>
      <c r="J48" s="70"/>
      <c r="K48" s="70"/>
      <c r="L48" s="70"/>
      <c r="M48" s="83"/>
      <c r="N48" s="57"/>
      <c r="P48" s="68"/>
      <c r="S48" s="68"/>
      <c r="U48" s="68"/>
      <c r="V48" s="68"/>
      <c r="W48" s="68"/>
      <c r="X48" s="68"/>
      <c r="Y48" s="68"/>
    </row>
    <row r="49" spans="3:25" x14ac:dyDescent="0.2">
      <c r="C49" s="68"/>
      <c r="D49" s="68"/>
      <c r="E49" s="68"/>
      <c r="G49" s="68"/>
      <c r="H49" s="332"/>
      <c r="I49" s="71"/>
      <c r="J49" s="70"/>
      <c r="K49" s="70"/>
      <c r="L49" s="70"/>
      <c r="M49" s="83"/>
      <c r="N49" s="57"/>
      <c r="P49" s="68"/>
      <c r="S49" s="68"/>
      <c r="U49" s="68"/>
      <c r="V49" s="68"/>
      <c r="W49" s="68"/>
      <c r="X49" s="68"/>
      <c r="Y49" s="68"/>
    </row>
    <row r="58" spans="3:25" hidden="1" x14ac:dyDescent="0.2">
      <c r="C58" s="68"/>
      <c r="D58" s="68"/>
      <c r="E58" s="68"/>
      <c r="G58" s="68"/>
      <c r="H58" s="332"/>
      <c r="I58" s="71"/>
      <c r="J58" s="103" t="s">
        <v>48</v>
      </c>
      <c r="P58" s="68"/>
      <c r="S58" s="68"/>
      <c r="U58" s="68"/>
      <c r="V58" s="68"/>
      <c r="W58" s="68"/>
      <c r="X58" s="68"/>
      <c r="Y58" s="68"/>
    </row>
    <row r="59" spans="3:25" hidden="1" x14ac:dyDescent="0.2">
      <c r="C59" s="68"/>
      <c r="D59" s="68"/>
      <c r="E59" s="68"/>
      <c r="G59" s="68"/>
      <c r="H59" s="332"/>
      <c r="I59" s="71"/>
      <c r="J59" s="104" t="str">
        <f>IF(Setup!$B$19&gt;0,LEFT(DrawPrep!D3,FIND(" ",DrawPrep!D3)-1))</f>
        <v>ΜΑΤΣΑΜΑΚΗΣ</v>
      </c>
      <c r="P59" s="68"/>
      <c r="S59" s="68"/>
      <c r="U59" s="68"/>
      <c r="V59" s="68"/>
      <c r="W59" s="68"/>
      <c r="X59" s="68"/>
      <c r="Y59" s="68"/>
    </row>
    <row r="60" spans="3:25" hidden="1" x14ac:dyDescent="0.2">
      <c r="C60" s="68"/>
      <c r="D60" s="68"/>
      <c r="E60" s="68"/>
      <c r="G60" s="68"/>
      <c r="H60" s="332"/>
      <c r="I60" s="71"/>
      <c r="J60" s="104" t="str">
        <f>IF(Setup!$B$19&gt;1,LEFT(DrawPrep!D4,FIND(" ",DrawPrep!D4)-1))</f>
        <v>ΜΑΝΔΑΛΕΝΑΚΗΣ</v>
      </c>
      <c r="P60" s="68"/>
      <c r="S60" s="68"/>
      <c r="U60" s="68"/>
      <c r="V60" s="68"/>
      <c r="W60" s="68"/>
      <c r="X60" s="68"/>
      <c r="Y60" s="68"/>
    </row>
    <row r="61" spans="3:25" hidden="1" x14ac:dyDescent="0.2">
      <c r="C61" s="68"/>
      <c r="D61" s="68"/>
      <c r="E61" s="68"/>
      <c r="G61" s="68"/>
      <c r="H61" s="332"/>
      <c r="I61" s="71"/>
      <c r="J61" s="104" t="str">
        <f>IF(Setup!$B$19&gt;2,LEFT(DrawPrep!D5,FIND(" ",DrawPrep!D5)-1))</f>
        <v>ΓΕΝΝΑΡΑΚΗΣ</v>
      </c>
      <c r="P61" s="68"/>
      <c r="S61" s="68"/>
      <c r="U61" s="68"/>
      <c r="V61" s="68"/>
      <c r="W61" s="68"/>
      <c r="X61" s="68"/>
      <c r="Y61" s="68"/>
    </row>
    <row r="62" spans="3:25" hidden="1" x14ac:dyDescent="0.2">
      <c r="C62" s="68"/>
      <c r="D62" s="68"/>
      <c r="E62" s="68"/>
      <c r="G62" s="68"/>
      <c r="H62" s="332"/>
      <c r="I62" s="71"/>
      <c r="J62" s="104" t="str">
        <f>IF(Setup!$B$19&gt;3,LEFT(DrawPrep!D6,FIND(" ",DrawPrep!D6)-1))</f>
        <v>ΖΕΡΒΟΣ</v>
      </c>
      <c r="P62" s="68"/>
      <c r="S62" s="68"/>
      <c r="U62" s="68"/>
      <c r="V62" s="68"/>
      <c r="W62" s="68"/>
      <c r="X62" s="68"/>
      <c r="Y62" s="68"/>
    </row>
    <row r="63" spans="3:25" hidden="1" x14ac:dyDescent="0.2">
      <c r="C63" s="68"/>
      <c r="D63" s="68"/>
      <c r="E63" s="68"/>
      <c r="G63" s="68"/>
      <c r="H63" s="332"/>
      <c r="I63" s="71"/>
      <c r="J63" s="104" t="str">
        <f>IF(Setup!$B$19&gt;4,LEFT(DrawPrep!D7,FIND(" ",DrawPrep!D7)-1))</f>
        <v>ΧΑΛΑΚΑΤΕΒΑΚΗΣ</v>
      </c>
      <c r="P63" s="68"/>
      <c r="S63" s="68"/>
      <c r="U63" s="68"/>
      <c r="V63" s="68"/>
      <c r="W63" s="68"/>
      <c r="X63" s="68"/>
      <c r="Y63" s="68"/>
    </row>
    <row r="64" spans="3:25" hidden="1" x14ac:dyDescent="0.2">
      <c r="C64" s="68"/>
      <c r="D64" s="68"/>
      <c r="E64" s="68"/>
      <c r="G64" s="68"/>
      <c r="H64" s="332"/>
      <c r="I64" s="71"/>
      <c r="J64" s="104" t="str">
        <f>IF(Setup!$B$19&gt;5,LEFT(DrawPrep!D8,FIND(" ",DrawPrep!D8)-1))</f>
        <v>ΠΕΤΡΑΚΗΣ</v>
      </c>
      <c r="M64" s="68"/>
      <c r="N64" s="68"/>
      <c r="P64" s="68"/>
      <c r="S64" s="68"/>
      <c r="U64" s="68"/>
      <c r="V64" s="68"/>
      <c r="W64" s="68"/>
      <c r="X64" s="68"/>
      <c r="Y64" s="68"/>
    </row>
    <row r="65" spans="3:25" hidden="1" x14ac:dyDescent="0.2">
      <c r="C65" s="68"/>
      <c r="D65" s="68"/>
      <c r="E65" s="68"/>
      <c r="G65" s="68"/>
      <c r="H65" s="332"/>
      <c r="I65" s="71"/>
      <c r="J65" s="104" t="str">
        <f>IF(Setup!$B$19&gt;6,LEFT(DrawPrep!D9,FIND(" ",DrawPrep!D9)-1))</f>
        <v>ΚΟΚΚΙΝΑΚΗΣ</v>
      </c>
      <c r="M65" s="68"/>
      <c r="N65" s="68"/>
      <c r="P65" s="68"/>
      <c r="S65" s="68"/>
      <c r="U65" s="68"/>
      <c r="V65" s="68"/>
      <c r="W65" s="68"/>
      <c r="X65" s="68"/>
      <c r="Y65" s="68"/>
    </row>
    <row r="66" spans="3:25" hidden="1" x14ac:dyDescent="0.2">
      <c r="C66" s="68"/>
      <c r="D66" s="68"/>
      <c r="E66" s="68"/>
      <c r="G66" s="68"/>
      <c r="H66" s="332"/>
      <c r="I66" s="71"/>
      <c r="J66" s="104" t="str">
        <f>IF(Setup!$B$19&gt;7,LEFT(DrawPrep!D10,FIND(" ",DrawPrep!D10)-1))</f>
        <v>ΣΠΥΡΟΠΟΥΛΟΣ</v>
      </c>
      <c r="M66" s="68"/>
      <c r="N66" s="68"/>
      <c r="P66" s="68"/>
      <c r="S66" s="68"/>
      <c r="U66" s="68"/>
      <c r="V66" s="68"/>
      <c r="W66" s="68"/>
      <c r="X66" s="68"/>
      <c r="Y66" s="68"/>
    </row>
    <row r="67" spans="3:25" ht="11.25" x14ac:dyDescent="0.2">
      <c r="C67" s="68"/>
      <c r="D67" s="68"/>
      <c r="E67" s="68"/>
      <c r="G67" s="68"/>
      <c r="H67" s="332"/>
      <c r="I67" s="71"/>
      <c r="J67" s="47"/>
      <c r="M67" s="68"/>
      <c r="N67" s="68"/>
      <c r="P67" s="68"/>
      <c r="S67" s="68"/>
      <c r="U67" s="68"/>
      <c r="V67" s="68"/>
      <c r="W67" s="68"/>
      <c r="X67" s="68"/>
      <c r="Y67" s="68"/>
    </row>
    <row r="68" spans="3:25" ht="11.25" x14ac:dyDescent="0.2">
      <c r="C68" s="68"/>
      <c r="D68" s="68"/>
      <c r="E68" s="68"/>
      <c r="G68" s="68"/>
      <c r="H68" s="332"/>
      <c r="I68" s="71"/>
      <c r="J68" s="47"/>
      <c r="M68" s="68"/>
      <c r="N68" s="68"/>
      <c r="P68" s="68"/>
      <c r="S68" s="68"/>
      <c r="U68" s="68"/>
      <c r="V68" s="68"/>
      <c r="W68" s="68"/>
      <c r="X68" s="68"/>
      <c r="Y68" s="68"/>
    </row>
    <row r="69" spans="3:25" ht="11.25" x14ac:dyDescent="0.2">
      <c r="C69" s="68"/>
      <c r="D69" s="68"/>
      <c r="E69" s="68"/>
      <c r="G69" s="68"/>
      <c r="H69" s="332"/>
      <c r="I69" s="71"/>
      <c r="J69" s="47"/>
      <c r="M69" s="68"/>
      <c r="N69" s="68"/>
      <c r="P69" s="68"/>
      <c r="S69" s="68"/>
      <c r="U69" s="68"/>
      <c r="V69" s="68"/>
      <c r="W69" s="68"/>
      <c r="X69" s="68"/>
      <c r="Y69" s="68"/>
    </row>
    <row r="70" spans="3:25" ht="11.25" x14ac:dyDescent="0.2">
      <c r="C70" s="68"/>
      <c r="D70" s="68"/>
      <c r="E70" s="68"/>
      <c r="G70" s="68"/>
      <c r="H70" s="332"/>
      <c r="I70" s="71"/>
      <c r="J70" s="47"/>
      <c r="M70" s="68"/>
      <c r="N70" s="68"/>
      <c r="P70" s="68"/>
      <c r="S70" s="68"/>
      <c r="U70" s="68"/>
      <c r="V70" s="68"/>
      <c r="W70" s="68"/>
      <c r="X70" s="68"/>
      <c r="Y70" s="68"/>
    </row>
    <row r="71" spans="3:25" ht="11.25" x14ac:dyDescent="0.2">
      <c r="C71" s="68"/>
      <c r="D71" s="68"/>
      <c r="E71" s="68"/>
      <c r="G71" s="68"/>
      <c r="H71" s="332"/>
      <c r="I71" s="71"/>
      <c r="J71" s="47"/>
      <c r="M71" s="68"/>
      <c r="N71" s="68"/>
      <c r="P71" s="68"/>
      <c r="S71" s="68"/>
      <c r="U71" s="68"/>
      <c r="V71" s="68"/>
      <c r="W71" s="68"/>
      <c r="X71" s="68"/>
      <c r="Y71" s="68"/>
    </row>
    <row r="72" spans="3:25" ht="11.25" x14ac:dyDescent="0.2">
      <c r="C72" s="68"/>
      <c r="D72" s="68"/>
      <c r="E72" s="68"/>
      <c r="G72" s="68"/>
      <c r="H72" s="332"/>
      <c r="I72" s="71"/>
      <c r="J72" s="47"/>
      <c r="M72" s="68"/>
      <c r="N72" s="68"/>
      <c r="P72" s="68"/>
      <c r="S72" s="68"/>
      <c r="U72" s="68"/>
      <c r="V72" s="68"/>
      <c r="W72" s="68"/>
      <c r="X72" s="68"/>
      <c r="Y72" s="68"/>
    </row>
    <row r="73" spans="3:25" ht="11.25" x14ac:dyDescent="0.2">
      <c r="C73" s="68"/>
      <c r="D73" s="68"/>
      <c r="E73" s="68"/>
      <c r="G73" s="68"/>
      <c r="H73" s="332"/>
      <c r="I73" s="71"/>
      <c r="J73" s="47"/>
      <c r="M73" s="68"/>
      <c r="N73" s="68"/>
      <c r="P73" s="68"/>
      <c r="S73" s="68"/>
      <c r="U73" s="68"/>
      <c r="V73" s="68"/>
      <c r="W73" s="68"/>
      <c r="X73" s="68"/>
      <c r="Y73" s="68"/>
    </row>
    <row r="74" spans="3:25" ht="11.25" x14ac:dyDescent="0.2">
      <c r="C74" s="68"/>
      <c r="D74" s="68"/>
      <c r="E74" s="68"/>
      <c r="G74" s="68"/>
      <c r="H74" s="332"/>
      <c r="I74" s="71"/>
      <c r="J74" s="47"/>
      <c r="M74" s="68"/>
      <c r="N74" s="68"/>
      <c r="P74" s="68"/>
      <c r="S74" s="68"/>
      <c r="U74" s="68"/>
      <c r="V74" s="68"/>
      <c r="W74" s="68"/>
      <c r="X74" s="68"/>
      <c r="Y74" s="68"/>
    </row>
  </sheetData>
  <sheetProtection password="CF33" sheet="1" objects="1" scenarios="1" formatColumns="0" formatRows="0"/>
  <protectedRanges>
    <protectedRange sqref="A2 M5:N5 M7:N7 M9:N9 M11:N11 M13:N13 M15:N15 M17:N17 M19:N19 M21:N21 M23:N23 M25:N25 M27:N27 M29:N29 M31:N31 M33:N33 M35:N35 P6:Q6 P10:Q10 P14:Q14 P18:Q18 P22:Q22 P26:Q26 P30:Q30 P34:Q34 S8:T8 S16:T16 S24:T24 S32:T32 V12:W12 V28:W28 V20:W20" name="winners"/>
    <protectedRange sqref="O6 O8 O10 O12 O14 O16 O18 O20 O22 O24 O26 O28 O30 O32 O34 O36 R7 R11 R15 R19 R23 R27 R31 R35 U9 U17 U25 U33 X13 X21 X29" name="scores"/>
    <protectedRange sqref="G5:G36" name="seeds"/>
  </protectedRanges>
  <mergeCells count="3">
    <mergeCell ref="A1:U1"/>
    <mergeCell ref="J3:L3"/>
    <mergeCell ref="U41:X41"/>
  </mergeCells>
  <conditionalFormatting sqref="O5 O7 O9 O11 O13 O15 O17 O19 O21 O23 O25 O27 O29 O31 O33 O35 R34 R30 R26 R22 R18 R14 R10 R6 U8 U16 U24 U32 X28 X20 X12">
    <cfRule type="expression" dxfId="0" priority="1">
      <formula>MATCH(O5,$J$59:$J$74,0)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headerFooter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Line="0" autoPict="0" macro="[0]!Sheet2pdf">
                <anchor moveWithCells="1" sizeWithCells="1">
                  <from>
                    <xdr:col>24</xdr:col>
                    <xdr:colOff>428625</xdr:colOff>
                    <xdr:row>2</xdr:row>
                    <xdr:rowOff>19050</xdr:rowOff>
                  </from>
                  <to>
                    <xdr:col>26</xdr:col>
                    <xdr:colOff>390525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86"/>
  <sheetViews>
    <sheetView topLeftCell="A39" zoomScaleNormal="100" workbookViewId="0">
      <selection activeCell="C69" sqref="C69"/>
    </sheetView>
  </sheetViews>
  <sheetFormatPr defaultColWidth="8.85546875" defaultRowHeight="11.25" x14ac:dyDescent="0.2"/>
  <cols>
    <col min="1" max="1" width="8.28515625" style="25" customWidth="1"/>
    <col min="2" max="2" width="8.28515625" style="37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4.7109375" style="10" customWidth="1"/>
    <col min="7" max="16384" width="8.85546875" style="10"/>
  </cols>
  <sheetData>
    <row r="1" spans="1:6" s="15" customFormat="1" ht="15" x14ac:dyDescent="0.2">
      <c r="A1" s="214" t="s">
        <v>183</v>
      </c>
      <c r="B1" s="368"/>
      <c r="C1" s="214"/>
      <c r="D1" s="214"/>
      <c r="E1" s="214"/>
      <c r="F1" s="214"/>
    </row>
    <row r="2" spans="1:6" s="113" customFormat="1" ht="12.75" x14ac:dyDescent="0.2">
      <c r="A2" s="213" t="s">
        <v>146</v>
      </c>
      <c r="B2" s="369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367"/>
      <c r="C3" s="12"/>
      <c r="D3" s="13"/>
      <c r="E3" s="26" t="s">
        <v>55</v>
      </c>
      <c r="F3" s="378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27" t="s">
        <v>26</v>
      </c>
      <c r="F4" s="379"/>
    </row>
    <row r="5" spans="1:6" x14ac:dyDescent="0.2">
      <c r="A5" s="296" t="s">
        <v>16</v>
      </c>
      <c r="B5" s="297" t="s">
        <v>64</v>
      </c>
      <c r="C5" s="298" t="s">
        <v>184</v>
      </c>
      <c r="D5" s="299" t="s">
        <v>22</v>
      </c>
      <c r="E5" s="298" t="s">
        <v>185</v>
      </c>
      <c r="F5" s="300"/>
    </row>
    <row r="6" spans="1:6" x14ac:dyDescent="0.2">
      <c r="A6" s="296"/>
      <c r="B6" s="297" t="s">
        <v>64</v>
      </c>
      <c r="C6" s="298" t="s">
        <v>186</v>
      </c>
      <c r="D6" s="299" t="s">
        <v>58</v>
      </c>
      <c r="E6" s="298" t="s">
        <v>187</v>
      </c>
      <c r="F6" s="301"/>
    </row>
    <row r="7" spans="1:6" x14ac:dyDescent="0.2">
      <c r="A7" s="296"/>
      <c r="B7" s="297" t="s">
        <v>64</v>
      </c>
      <c r="C7" s="298" t="s">
        <v>188</v>
      </c>
      <c r="D7" s="299" t="s">
        <v>58</v>
      </c>
      <c r="E7" s="298" t="s">
        <v>189</v>
      </c>
      <c r="F7" s="301"/>
    </row>
    <row r="8" spans="1:6" x14ac:dyDescent="0.2">
      <c r="A8" s="296"/>
      <c r="B8" s="297" t="s">
        <v>64</v>
      </c>
      <c r="C8" s="298" t="s">
        <v>185</v>
      </c>
      <c r="D8" s="299" t="s">
        <v>22</v>
      </c>
      <c r="E8" s="298" t="s">
        <v>190</v>
      </c>
      <c r="F8" s="301"/>
    </row>
    <row r="9" spans="1:6" x14ac:dyDescent="0.2">
      <c r="A9" s="302"/>
      <c r="B9" s="297" t="s">
        <v>64</v>
      </c>
      <c r="C9" s="298" t="s">
        <v>191</v>
      </c>
      <c r="D9" s="299" t="s">
        <v>22</v>
      </c>
      <c r="E9" s="298" t="s">
        <v>185</v>
      </c>
      <c r="F9" s="301"/>
    </row>
    <row r="10" spans="1:6" x14ac:dyDescent="0.2">
      <c r="A10" s="296" t="s">
        <v>17</v>
      </c>
      <c r="B10" s="297" t="s">
        <v>64</v>
      </c>
      <c r="C10" s="298" t="s">
        <v>192</v>
      </c>
      <c r="D10" s="299" t="s">
        <v>58</v>
      </c>
      <c r="E10" s="298" t="s">
        <v>193</v>
      </c>
      <c r="F10" s="301"/>
    </row>
    <row r="11" spans="1:6" x14ac:dyDescent="0.2">
      <c r="A11" s="302"/>
      <c r="B11" s="297" t="s">
        <v>64</v>
      </c>
      <c r="C11" s="298" t="s">
        <v>194</v>
      </c>
      <c r="D11" s="299" t="s">
        <v>58</v>
      </c>
      <c r="E11" s="298" t="s">
        <v>195</v>
      </c>
      <c r="F11" s="301"/>
    </row>
    <row r="12" spans="1:6" x14ac:dyDescent="0.2">
      <c r="A12" s="302"/>
      <c r="B12" s="297" t="s">
        <v>64</v>
      </c>
      <c r="C12" s="298" t="s">
        <v>196</v>
      </c>
      <c r="D12" s="299" t="s">
        <v>58</v>
      </c>
      <c r="E12" s="298" t="s">
        <v>197</v>
      </c>
      <c r="F12" s="301"/>
    </row>
    <row r="13" spans="1:6" x14ac:dyDescent="0.2">
      <c r="A13" s="296"/>
      <c r="B13" s="297" t="s">
        <v>64</v>
      </c>
      <c r="C13" s="298" t="s">
        <v>198</v>
      </c>
      <c r="D13" s="299" t="s">
        <v>22</v>
      </c>
      <c r="E13" s="298" t="s">
        <v>185</v>
      </c>
      <c r="F13" s="301"/>
    </row>
    <row r="14" spans="1:6" x14ac:dyDescent="0.2">
      <c r="A14" s="302"/>
      <c r="B14" s="297" t="s">
        <v>64</v>
      </c>
      <c r="C14" s="298" t="s">
        <v>199</v>
      </c>
      <c r="D14" s="299" t="s">
        <v>58</v>
      </c>
      <c r="E14" s="298" t="s">
        <v>200</v>
      </c>
      <c r="F14" s="301"/>
    </row>
    <row r="15" spans="1:6" x14ac:dyDescent="0.2">
      <c r="A15" s="296" t="s">
        <v>17</v>
      </c>
      <c r="B15" s="297" t="s">
        <v>64</v>
      </c>
      <c r="C15" s="298" t="s">
        <v>201</v>
      </c>
      <c r="D15" s="299" t="s">
        <v>58</v>
      </c>
      <c r="E15" s="298" t="s">
        <v>202</v>
      </c>
      <c r="F15" s="301"/>
    </row>
    <row r="16" spans="1:6" x14ac:dyDescent="0.2">
      <c r="A16" s="302"/>
      <c r="B16" s="297" t="s">
        <v>64</v>
      </c>
      <c r="C16" s="298" t="s">
        <v>185</v>
      </c>
      <c r="D16" s="299" t="s">
        <v>22</v>
      </c>
      <c r="E16" s="298" t="s">
        <v>203</v>
      </c>
      <c r="F16" s="301"/>
    </row>
    <row r="17" spans="1:6" x14ac:dyDescent="0.2">
      <c r="A17" s="302"/>
      <c r="B17" s="297" t="s">
        <v>64</v>
      </c>
      <c r="C17" s="298" t="s">
        <v>204</v>
      </c>
      <c r="D17" s="299" t="s">
        <v>58</v>
      </c>
      <c r="E17" s="298" t="s">
        <v>205</v>
      </c>
      <c r="F17" s="301"/>
    </row>
    <row r="18" spans="1:6" x14ac:dyDescent="0.2">
      <c r="A18" s="302"/>
      <c r="B18" s="297" t="s">
        <v>64</v>
      </c>
      <c r="C18" s="298" t="s">
        <v>206</v>
      </c>
      <c r="D18" s="299" t="s">
        <v>58</v>
      </c>
      <c r="E18" s="298" t="s">
        <v>207</v>
      </c>
      <c r="F18" s="301"/>
    </row>
    <row r="19" spans="1:6" x14ac:dyDescent="0.2">
      <c r="A19" s="302"/>
      <c r="B19" s="297" t="s">
        <v>64</v>
      </c>
      <c r="C19" s="298" t="s">
        <v>208</v>
      </c>
      <c r="D19" s="299" t="s">
        <v>58</v>
      </c>
      <c r="E19" s="298" t="s">
        <v>209</v>
      </c>
      <c r="F19" s="301"/>
    </row>
    <row r="20" spans="1:6" x14ac:dyDescent="0.2">
      <c r="A20" s="296"/>
      <c r="B20" s="297" t="s">
        <v>64</v>
      </c>
      <c r="C20" s="298" t="s">
        <v>185</v>
      </c>
      <c r="D20" s="299" t="s">
        <v>22</v>
      </c>
      <c r="E20" s="298" t="s">
        <v>210</v>
      </c>
      <c r="F20" s="301"/>
    </row>
    <row r="21" spans="1:6" x14ac:dyDescent="0.2">
      <c r="A21" s="24"/>
    </row>
    <row r="22" spans="1:6" x14ac:dyDescent="0.2">
      <c r="A22" s="296" t="s">
        <v>16</v>
      </c>
      <c r="B22" s="297" t="s">
        <v>68</v>
      </c>
      <c r="C22" s="298" t="s">
        <v>211</v>
      </c>
      <c r="D22" s="299" t="s">
        <v>22</v>
      </c>
      <c r="E22" s="298" t="s">
        <v>185</v>
      </c>
      <c r="F22" s="363"/>
    </row>
    <row r="23" spans="1:6" x14ac:dyDescent="0.2">
      <c r="A23" s="296"/>
      <c r="B23" s="297" t="s">
        <v>68</v>
      </c>
      <c r="C23" s="298" t="s">
        <v>212</v>
      </c>
      <c r="D23" s="299" t="s">
        <v>58</v>
      </c>
      <c r="E23" s="298" t="s">
        <v>213</v>
      </c>
      <c r="F23" s="363"/>
    </row>
    <row r="24" spans="1:6" x14ac:dyDescent="0.2">
      <c r="A24" s="296"/>
      <c r="B24" s="297" t="s">
        <v>68</v>
      </c>
      <c r="C24" s="298" t="s">
        <v>214</v>
      </c>
      <c r="D24" s="299" t="s">
        <v>22</v>
      </c>
      <c r="E24" s="298" t="s">
        <v>185</v>
      </c>
      <c r="F24" s="363"/>
    </row>
    <row r="25" spans="1:6" x14ac:dyDescent="0.2">
      <c r="A25" s="296"/>
      <c r="B25" s="297" t="s">
        <v>68</v>
      </c>
      <c r="C25" s="298" t="s">
        <v>185</v>
      </c>
      <c r="D25" s="299" t="s">
        <v>22</v>
      </c>
      <c r="E25" s="298" t="s">
        <v>215</v>
      </c>
      <c r="F25" s="363"/>
    </row>
    <row r="26" spans="1:6" x14ac:dyDescent="0.2">
      <c r="A26" s="296" t="s">
        <v>17</v>
      </c>
      <c r="B26" s="297" t="s">
        <v>68</v>
      </c>
      <c r="C26" s="298" t="s">
        <v>216</v>
      </c>
      <c r="D26" s="299" t="s">
        <v>22</v>
      </c>
      <c r="E26" s="298" t="s">
        <v>185</v>
      </c>
      <c r="F26" s="363"/>
    </row>
    <row r="27" spans="1:6" x14ac:dyDescent="0.2">
      <c r="A27" s="364"/>
      <c r="B27" s="297" t="s">
        <v>68</v>
      </c>
      <c r="C27" s="298" t="s">
        <v>217</v>
      </c>
      <c r="D27" s="299" t="s">
        <v>22</v>
      </c>
      <c r="E27" s="298" t="s">
        <v>185</v>
      </c>
      <c r="F27" s="363"/>
    </row>
    <row r="28" spans="1:6" x14ac:dyDescent="0.2">
      <c r="A28" s="302"/>
      <c r="B28" s="297" t="s">
        <v>68</v>
      </c>
      <c r="C28" s="298" t="s">
        <v>218</v>
      </c>
      <c r="D28" s="299" t="s">
        <v>58</v>
      </c>
      <c r="E28" s="298" t="s">
        <v>219</v>
      </c>
      <c r="F28" s="363"/>
    </row>
    <row r="29" spans="1:6" x14ac:dyDescent="0.2">
      <c r="A29" s="302"/>
      <c r="B29" s="297" t="s">
        <v>68</v>
      </c>
      <c r="C29" s="298" t="s">
        <v>185</v>
      </c>
      <c r="D29" s="299" t="s">
        <v>22</v>
      </c>
      <c r="E29" s="298" t="s">
        <v>220</v>
      </c>
      <c r="F29" s="363"/>
    </row>
    <row r="30" spans="1:6" x14ac:dyDescent="0.2">
      <c r="A30" s="364"/>
      <c r="B30" s="365"/>
      <c r="C30" s="363"/>
      <c r="D30" s="365"/>
      <c r="E30" s="363"/>
      <c r="F30" s="363"/>
    </row>
    <row r="31" spans="1:6" x14ac:dyDescent="0.2">
      <c r="A31" s="302"/>
      <c r="B31" s="297" t="s">
        <v>66</v>
      </c>
      <c r="C31" s="298" t="s">
        <v>221</v>
      </c>
      <c r="D31" s="299" t="s">
        <v>58</v>
      </c>
      <c r="E31" s="298" t="s">
        <v>222</v>
      </c>
      <c r="F31" s="363"/>
    </row>
    <row r="32" spans="1:6" x14ac:dyDescent="0.2">
      <c r="A32" s="24"/>
    </row>
    <row r="33" spans="1:5" x14ac:dyDescent="0.2">
      <c r="A33" s="366">
        <v>0.5625</v>
      </c>
      <c r="B33" s="370" t="s">
        <v>70</v>
      </c>
      <c r="C33" s="10" t="s">
        <v>232</v>
      </c>
      <c r="D33" s="10" t="s">
        <v>58</v>
      </c>
      <c r="E33" s="10" t="s">
        <v>233</v>
      </c>
    </row>
    <row r="34" spans="1:5" x14ac:dyDescent="0.2">
      <c r="A34" s="24"/>
      <c r="B34" s="370" t="s">
        <v>70</v>
      </c>
      <c r="C34" s="10" t="s">
        <v>234</v>
      </c>
      <c r="D34" s="10" t="s">
        <v>58</v>
      </c>
      <c r="E34" s="10" t="s">
        <v>235</v>
      </c>
    </row>
    <row r="35" spans="1:5" x14ac:dyDescent="0.2">
      <c r="A35" s="24"/>
      <c r="B35" s="370" t="s">
        <v>70</v>
      </c>
      <c r="C35" s="10" t="s">
        <v>236</v>
      </c>
      <c r="D35" s="10" t="s">
        <v>58</v>
      </c>
      <c r="E35" s="10" t="s">
        <v>237</v>
      </c>
    </row>
    <row r="36" spans="1:5" x14ac:dyDescent="0.2">
      <c r="A36" s="24"/>
      <c r="B36" s="370" t="s">
        <v>70</v>
      </c>
      <c r="C36" s="10" t="s">
        <v>238</v>
      </c>
      <c r="D36" s="10" t="s">
        <v>58</v>
      </c>
      <c r="E36" s="10" t="s">
        <v>239</v>
      </c>
    </row>
    <row r="37" spans="1:5" x14ac:dyDescent="0.2">
      <c r="A37" s="24"/>
    </row>
    <row r="38" spans="1:5" x14ac:dyDescent="0.2">
      <c r="A38" s="366">
        <v>0.60416666666666663</v>
      </c>
      <c r="B38" s="370" t="s">
        <v>64</v>
      </c>
      <c r="C38" s="298" t="s">
        <v>184</v>
      </c>
      <c r="E38" s="298" t="s">
        <v>187</v>
      </c>
    </row>
    <row r="39" spans="1:5" x14ac:dyDescent="0.2">
      <c r="A39" s="24"/>
      <c r="B39" s="370" t="s">
        <v>64</v>
      </c>
      <c r="C39" s="298" t="s">
        <v>188</v>
      </c>
      <c r="E39" s="298" t="s">
        <v>190</v>
      </c>
    </row>
    <row r="40" spans="1:5" x14ac:dyDescent="0.2">
      <c r="A40" s="24"/>
      <c r="B40" s="370" t="s">
        <v>64</v>
      </c>
      <c r="C40" s="298" t="s">
        <v>191</v>
      </c>
      <c r="E40" s="298" t="s">
        <v>192</v>
      </c>
    </row>
    <row r="41" spans="1:5" x14ac:dyDescent="0.2">
      <c r="A41" s="366"/>
      <c r="B41" s="370" t="s">
        <v>64</v>
      </c>
      <c r="C41" s="298" t="s">
        <v>194</v>
      </c>
      <c r="E41" s="298" t="s">
        <v>197</v>
      </c>
    </row>
    <row r="42" spans="1:5" x14ac:dyDescent="0.2">
      <c r="A42" s="366">
        <v>0.64583333333333337</v>
      </c>
      <c r="B42" s="370" t="s">
        <v>64</v>
      </c>
      <c r="C42" s="298" t="s">
        <v>198</v>
      </c>
      <c r="E42" s="298" t="s">
        <v>199</v>
      </c>
    </row>
    <row r="43" spans="1:5" x14ac:dyDescent="0.2">
      <c r="A43" s="24"/>
      <c r="B43" s="370" t="s">
        <v>64</v>
      </c>
      <c r="C43" s="298" t="s">
        <v>201</v>
      </c>
      <c r="E43" s="298" t="s">
        <v>203</v>
      </c>
    </row>
    <row r="44" spans="1:5" x14ac:dyDescent="0.2">
      <c r="A44" s="24"/>
      <c r="B44" s="370" t="s">
        <v>64</v>
      </c>
      <c r="C44" s="298" t="s">
        <v>204</v>
      </c>
      <c r="E44" s="298" t="s">
        <v>206</v>
      </c>
    </row>
    <row r="45" spans="1:5" x14ac:dyDescent="0.2">
      <c r="A45" s="24"/>
      <c r="B45" s="370" t="s">
        <v>64</v>
      </c>
      <c r="C45" s="298" t="s">
        <v>209</v>
      </c>
      <c r="E45" s="298" t="s">
        <v>210</v>
      </c>
    </row>
    <row r="46" spans="1:5" x14ac:dyDescent="0.2">
      <c r="A46" s="24"/>
    </row>
    <row r="47" spans="1:5" x14ac:dyDescent="0.2">
      <c r="A47" s="366">
        <v>0.66666666666666663</v>
      </c>
      <c r="B47" s="370" t="s">
        <v>68</v>
      </c>
      <c r="C47" s="10" t="s">
        <v>223</v>
      </c>
      <c r="E47" s="10" t="s">
        <v>224</v>
      </c>
    </row>
    <row r="48" spans="1:5" x14ac:dyDescent="0.2">
      <c r="A48" s="24"/>
      <c r="B48" s="370" t="s">
        <v>68</v>
      </c>
      <c r="C48" s="10" t="s">
        <v>225</v>
      </c>
      <c r="E48" s="10" t="s">
        <v>226</v>
      </c>
    </row>
    <row r="49" spans="1:5" x14ac:dyDescent="0.2">
      <c r="A49" s="24"/>
      <c r="B49" s="370" t="s">
        <v>68</v>
      </c>
      <c r="C49" s="10" t="s">
        <v>227</v>
      </c>
      <c r="E49" s="10" t="s">
        <v>228</v>
      </c>
    </row>
    <row r="50" spans="1:5" x14ac:dyDescent="0.2">
      <c r="A50" s="24"/>
      <c r="B50" s="370" t="s">
        <v>68</v>
      </c>
      <c r="C50" s="10" t="s">
        <v>229</v>
      </c>
      <c r="E50" s="10" t="s">
        <v>230</v>
      </c>
    </row>
    <row r="51" spans="1:5" x14ac:dyDescent="0.2">
      <c r="A51" s="24"/>
    </row>
    <row r="52" spans="1:5" x14ac:dyDescent="0.2">
      <c r="A52" s="366">
        <v>0.70833333333333337</v>
      </c>
      <c r="B52" s="370" t="s">
        <v>66</v>
      </c>
      <c r="C52" s="10" t="s">
        <v>231</v>
      </c>
      <c r="E52" s="10" t="s">
        <v>240</v>
      </c>
    </row>
    <row r="53" spans="1:5" x14ac:dyDescent="0.2">
      <c r="A53" s="24"/>
      <c r="B53" s="370" t="s">
        <v>66</v>
      </c>
      <c r="C53" s="10" t="s">
        <v>241</v>
      </c>
      <c r="E53" s="10" t="s">
        <v>242</v>
      </c>
    </row>
    <row r="54" spans="1:5" x14ac:dyDescent="0.2">
      <c r="A54" s="24"/>
      <c r="B54" s="370" t="s">
        <v>66</v>
      </c>
      <c r="C54" s="10" t="s">
        <v>243</v>
      </c>
      <c r="E54" s="10" t="s">
        <v>244</v>
      </c>
    </row>
    <row r="55" spans="1:5" x14ac:dyDescent="0.2">
      <c r="A55" s="24"/>
      <c r="B55" s="370" t="s">
        <v>66</v>
      </c>
      <c r="C55" s="10" t="s">
        <v>245</v>
      </c>
      <c r="E55" s="10" t="s">
        <v>246</v>
      </c>
    </row>
    <row r="56" spans="1:5" x14ac:dyDescent="0.2">
      <c r="A56" s="24"/>
    </row>
    <row r="57" spans="1:5" x14ac:dyDescent="0.2">
      <c r="A57" s="366">
        <v>0.75</v>
      </c>
      <c r="B57" s="370" t="s">
        <v>70</v>
      </c>
      <c r="C57" s="10" t="s">
        <v>232</v>
      </c>
      <c r="E57" s="10" t="s">
        <v>234</v>
      </c>
    </row>
    <row r="58" spans="1:5" x14ac:dyDescent="0.2">
      <c r="A58" s="24"/>
      <c r="B58" s="370" t="s">
        <v>70</v>
      </c>
      <c r="C58" s="10" t="s">
        <v>236</v>
      </c>
      <c r="E58" s="10" t="s">
        <v>239</v>
      </c>
    </row>
    <row r="59" spans="1:5" x14ac:dyDescent="0.2">
      <c r="A59" s="24"/>
    </row>
    <row r="60" spans="1:5" x14ac:dyDescent="0.2">
      <c r="A60" s="366">
        <v>0.79166666666666663</v>
      </c>
      <c r="B60" s="370" t="s">
        <v>64</v>
      </c>
      <c r="C60" s="298" t="s">
        <v>184</v>
      </c>
      <c r="E60" s="298" t="s">
        <v>190</v>
      </c>
    </row>
    <row r="61" spans="1:5" x14ac:dyDescent="0.2">
      <c r="A61" s="24"/>
      <c r="B61" s="370" t="s">
        <v>64</v>
      </c>
      <c r="C61" s="298" t="s">
        <v>191</v>
      </c>
      <c r="E61" s="298" t="s">
        <v>197</v>
      </c>
    </row>
    <row r="62" spans="1:5" x14ac:dyDescent="0.2">
      <c r="A62" s="24"/>
      <c r="B62" s="370" t="s">
        <v>64</v>
      </c>
      <c r="C62" s="298" t="s">
        <v>199</v>
      </c>
      <c r="E62" s="298" t="s">
        <v>203</v>
      </c>
    </row>
    <row r="63" spans="1:5" x14ac:dyDescent="0.2">
      <c r="A63" s="24"/>
      <c r="B63" s="370" t="s">
        <v>64</v>
      </c>
      <c r="C63" s="298" t="s">
        <v>204</v>
      </c>
      <c r="E63" s="298" t="s">
        <v>210</v>
      </c>
    </row>
    <row r="64" spans="1:5" x14ac:dyDescent="0.2">
      <c r="A64" s="24"/>
    </row>
    <row r="65" spans="1:3" x14ac:dyDescent="0.2">
      <c r="A65" s="24"/>
    </row>
    <row r="66" spans="1:3" x14ac:dyDescent="0.2">
      <c r="A66" s="24"/>
      <c r="C66" s="25" t="s">
        <v>247</v>
      </c>
    </row>
    <row r="67" spans="1:3" x14ac:dyDescent="0.2">
      <c r="A67" s="24"/>
    </row>
    <row r="68" spans="1:3" x14ac:dyDescent="0.2">
      <c r="A68" s="366">
        <v>0.375</v>
      </c>
      <c r="B68" s="370" t="s">
        <v>248</v>
      </c>
    </row>
    <row r="69" spans="1:3" x14ac:dyDescent="0.2">
      <c r="A69" s="24"/>
      <c r="B69" s="370" t="s">
        <v>248</v>
      </c>
    </row>
    <row r="70" spans="1:3" x14ac:dyDescent="0.2">
      <c r="A70" s="24"/>
      <c r="B70" s="370" t="s">
        <v>249</v>
      </c>
    </row>
    <row r="71" spans="1:3" x14ac:dyDescent="0.2">
      <c r="A71" s="24"/>
      <c r="B71" s="370" t="s">
        <v>249</v>
      </c>
    </row>
    <row r="72" spans="1:3" x14ac:dyDescent="0.2">
      <c r="A72" s="24"/>
    </row>
    <row r="73" spans="1:3" x14ac:dyDescent="0.2">
      <c r="A73" s="366">
        <v>0.41666666666666669</v>
      </c>
      <c r="B73" s="370" t="s">
        <v>250</v>
      </c>
    </row>
    <row r="74" spans="1:3" x14ac:dyDescent="0.2">
      <c r="A74" s="24"/>
      <c r="B74" s="370" t="s">
        <v>250</v>
      </c>
    </row>
    <row r="75" spans="1:3" x14ac:dyDescent="0.2">
      <c r="A75" s="24"/>
      <c r="B75" s="370" t="s">
        <v>251</v>
      </c>
    </row>
    <row r="76" spans="1:3" x14ac:dyDescent="0.2">
      <c r="A76" s="24"/>
    </row>
    <row r="77" spans="1:3" x14ac:dyDescent="0.2">
      <c r="A77" s="366">
        <v>0.5</v>
      </c>
      <c r="B77" s="370" t="s">
        <v>252</v>
      </c>
    </row>
    <row r="78" spans="1:3" x14ac:dyDescent="0.2">
      <c r="A78" s="24"/>
      <c r="B78" s="370" t="s">
        <v>253</v>
      </c>
    </row>
    <row r="79" spans="1:3" x14ac:dyDescent="0.2">
      <c r="A79" s="24"/>
    </row>
    <row r="80" spans="1:3" x14ac:dyDescent="0.2">
      <c r="A80" s="366">
        <v>0.54166666666666663</v>
      </c>
      <c r="B80" s="370" t="s">
        <v>254</v>
      </c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</sheetData>
  <sortState ref="C5:E20">
    <sortCondition ref="D5"/>
  </sortState>
  <mergeCells count="1"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6</xdr:col>
                    <xdr:colOff>533400</xdr:colOff>
                    <xdr:row>8</xdr:row>
                    <xdr:rowOff>57150</xdr:rowOff>
                  </from>
                  <to>
                    <xdr:col>8</xdr:col>
                    <xdr:colOff>533400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9"/>
  <sheetViews>
    <sheetView workbookViewId="0"/>
  </sheetViews>
  <sheetFormatPr defaultColWidth="8.85546875" defaultRowHeight="11.25" x14ac:dyDescent="0.2"/>
  <cols>
    <col min="1" max="1" width="8.28515625" style="25" customWidth="1"/>
    <col min="2" max="2" width="8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6" s="15" customFormat="1" ht="15" x14ac:dyDescent="0.2">
      <c r="A1" s="214" t="s">
        <v>183</v>
      </c>
      <c r="B1" s="214"/>
      <c r="C1" s="214"/>
      <c r="D1" s="214"/>
      <c r="E1" s="214"/>
      <c r="F1" s="214"/>
    </row>
    <row r="2" spans="1:6" s="113" customFormat="1" ht="12.75" x14ac:dyDescent="0.2">
      <c r="A2" s="213" t="s">
        <v>146</v>
      </c>
      <c r="B2" s="213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12"/>
      <c r="C3" s="12"/>
      <c r="D3" s="13"/>
      <c r="E3" s="14" t="s">
        <v>55</v>
      </c>
      <c r="F3" s="380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19" t="s">
        <v>26</v>
      </c>
      <c r="F4" s="381"/>
    </row>
    <row r="5" spans="1:6" x14ac:dyDescent="0.2">
      <c r="A5" s="296" t="s">
        <v>16</v>
      </c>
      <c r="B5" s="297" t="s">
        <v>64</v>
      </c>
      <c r="C5" s="298" t="s">
        <v>104</v>
      </c>
      <c r="D5" s="299" t="s">
        <v>58</v>
      </c>
      <c r="E5" s="298" t="s">
        <v>108</v>
      </c>
      <c r="F5" s="301"/>
    </row>
    <row r="6" spans="1:6" x14ac:dyDescent="0.2">
      <c r="A6" s="296"/>
      <c r="B6" s="297" t="s">
        <v>64</v>
      </c>
      <c r="C6" s="298" t="s">
        <v>109</v>
      </c>
      <c r="D6" s="299" t="s">
        <v>58</v>
      </c>
      <c r="E6" s="298" t="s">
        <v>112</v>
      </c>
      <c r="F6" s="301"/>
    </row>
    <row r="7" spans="1:6" x14ac:dyDescent="0.2">
      <c r="A7" s="296"/>
      <c r="B7" s="297" t="s">
        <v>64</v>
      </c>
      <c r="C7" s="298" t="s">
        <v>107</v>
      </c>
      <c r="D7" s="299" t="s">
        <v>58</v>
      </c>
      <c r="E7" s="298" t="s">
        <v>105</v>
      </c>
      <c r="F7" s="301"/>
    </row>
    <row r="8" spans="1:6" x14ac:dyDescent="0.2">
      <c r="A8" s="296"/>
      <c r="B8" s="297" t="s">
        <v>64</v>
      </c>
      <c r="C8" s="298" t="s">
        <v>115</v>
      </c>
      <c r="D8" s="299" t="s">
        <v>58</v>
      </c>
      <c r="E8" s="298" t="s">
        <v>116</v>
      </c>
      <c r="F8" s="301"/>
    </row>
    <row r="9" spans="1:6" x14ac:dyDescent="0.2">
      <c r="A9" s="302"/>
      <c r="B9" s="297" t="s">
        <v>64</v>
      </c>
      <c r="C9" s="298" t="s">
        <v>117</v>
      </c>
      <c r="D9" s="299" t="s">
        <v>58</v>
      </c>
      <c r="E9" s="298" t="s">
        <v>119</v>
      </c>
      <c r="F9" s="301"/>
    </row>
    <row r="10" spans="1:6" x14ac:dyDescent="0.2">
      <c r="A10" s="296" t="s">
        <v>17</v>
      </c>
      <c r="B10" s="297" t="s">
        <v>64</v>
      </c>
      <c r="C10" s="298" t="s">
        <v>106</v>
      </c>
      <c r="D10" s="299" t="s">
        <v>58</v>
      </c>
      <c r="E10" s="298" t="s">
        <v>111</v>
      </c>
      <c r="F10" s="301"/>
    </row>
    <row r="11" spans="1:6" x14ac:dyDescent="0.2">
      <c r="A11" s="302"/>
      <c r="B11" s="297" t="s">
        <v>64</v>
      </c>
      <c r="C11" s="298" t="s">
        <v>118</v>
      </c>
      <c r="D11" s="299" t="s">
        <v>58</v>
      </c>
      <c r="E11" s="298" t="s">
        <v>113</v>
      </c>
      <c r="F11" s="301"/>
    </row>
    <row r="12" spans="1:6" x14ac:dyDescent="0.2">
      <c r="A12" s="302"/>
      <c r="B12" s="297" t="s">
        <v>64</v>
      </c>
      <c r="C12" s="298" t="s">
        <v>114</v>
      </c>
      <c r="D12" s="299" t="s">
        <v>58</v>
      </c>
      <c r="E12" s="298" t="s">
        <v>110</v>
      </c>
      <c r="F12" s="301"/>
    </row>
    <row r="13" spans="1:6" x14ac:dyDescent="0.2">
      <c r="A13" s="20"/>
      <c r="B13" s="21"/>
      <c r="C13" s="22"/>
      <c r="D13" s="23"/>
      <c r="E13" s="22"/>
    </row>
    <row r="14" spans="1:6" x14ac:dyDescent="0.2">
      <c r="A14" s="24"/>
      <c r="B14" s="21"/>
      <c r="C14" s="22"/>
      <c r="D14" s="23"/>
      <c r="E14" s="22"/>
    </row>
    <row r="15" spans="1:6" x14ac:dyDescent="0.2">
      <c r="A15" s="20"/>
      <c r="B15" s="21"/>
      <c r="C15" s="22"/>
      <c r="D15" s="23"/>
      <c r="E15" s="22"/>
    </row>
    <row r="16" spans="1:6" x14ac:dyDescent="0.2">
      <c r="A16" s="24"/>
      <c r="B16" s="21"/>
      <c r="C16" s="22"/>
      <c r="D16" s="23"/>
      <c r="E16" s="22"/>
    </row>
    <row r="17" spans="1:5" x14ac:dyDescent="0.2">
      <c r="A17" s="24"/>
      <c r="B17" s="21"/>
      <c r="C17" s="22"/>
      <c r="D17" s="23"/>
      <c r="E17" s="22"/>
    </row>
    <row r="18" spans="1:5" x14ac:dyDescent="0.2">
      <c r="A18" s="24"/>
      <c r="B18" s="21"/>
      <c r="C18" s="22"/>
      <c r="D18" s="23"/>
      <c r="E18" s="22"/>
    </row>
    <row r="19" spans="1:5" x14ac:dyDescent="0.2">
      <c r="A19" s="24"/>
      <c r="B19" s="21"/>
      <c r="C19" s="22"/>
      <c r="D19" s="23"/>
      <c r="E19" s="22"/>
    </row>
    <row r="20" spans="1:5" x14ac:dyDescent="0.2">
      <c r="A20" s="20" t="s">
        <v>22</v>
      </c>
      <c r="B20" s="21"/>
      <c r="C20" s="22"/>
      <c r="D20" s="23"/>
      <c r="E20" s="22"/>
    </row>
    <row r="21" spans="1:5" x14ac:dyDescent="0.2">
      <c r="A21" s="24"/>
    </row>
    <row r="22" spans="1:5" x14ac:dyDescent="0.2">
      <c r="A22" s="24"/>
    </row>
    <row r="23" spans="1:5" x14ac:dyDescent="0.2">
      <c r="A23" s="24"/>
    </row>
    <row r="24" spans="1:5" x14ac:dyDescent="0.2">
      <c r="A24" s="24"/>
    </row>
    <row r="25" spans="1:5" x14ac:dyDescent="0.2">
      <c r="A25" s="24"/>
    </row>
    <row r="26" spans="1:5" x14ac:dyDescent="0.2">
      <c r="A26" s="24"/>
    </row>
    <row r="27" spans="1:5" x14ac:dyDescent="0.2">
      <c r="A27" s="24"/>
    </row>
    <row r="28" spans="1:5" x14ac:dyDescent="0.2">
      <c r="A28" s="24"/>
    </row>
    <row r="29" spans="1:5" x14ac:dyDescent="0.2">
      <c r="A29" s="24"/>
    </row>
    <row r="30" spans="1:5" x14ac:dyDescent="0.2">
      <c r="A30" s="24"/>
    </row>
    <row r="31" spans="1:5" x14ac:dyDescent="0.2">
      <c r="A31" s="24"/>
    </row>
    <row r="32" spans="1:5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</sheetData>
  <mergeCells count="1"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Button 2">
              <controlPr defaultSize="0" print="0" autoFill="0" autoLine="0" autoPict="0" macro="[0]!MakeDay2">
                <anchor moveWithCells="1" sizeWithCells="1">
                  <from>
                    <xdr:col>6</xdr:col>
                    <xdr:colOff>342900</xdr:colOff>
                    <xdr:row>6</xdr:row>
                    <xdr:rowOff>38100</xdr:rowOff>
                  </from>
                  <to>
                    <xdr:col>8</xdr:col>
                    <xdr:colOff>333375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8.85546875" defaultRowHeight="11.25" x14ac:dyDescent="0.15"/>
  <cols>
    <col min="1" max="16384" width="8.85546875" style="8"/>
  </cols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showGridLines="0" zoomScale="85" zoomScaleNormal="85" workbookViewId="0"/>
  </sheetViews>
  <sheetFormatPr defaultColWidth="8.85546875" defaultRowHeight="11.25" x14ac:dyDescent="0.2"/>
  <cols>
    <col min="1" max="1" width="7.28515625" style="25" bestFit="1" customWidth="1"/>
    <col min="2" max="2" width="7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8" s="9" customFormat="1" ht="18" x14ac:dyDescent="0.2">
      <c r="A1" s="215" t="str">
        <f>Setup!B3 &amp; ", " &amp; Setup!B4 &amp; ", " &amp; Setup!B7  &amp; " (" &amp; Setup!B8 &amp; ")"</f>
        <v>Ζ΄ ΕΝΩΣΗ, 3ο Ε3 2016, Γ.Σ. ΛΙΒΥΚΟΣ ΙΕΡΑΠ. (Α12)</v>
      </c>
      <c r="B1" s="215"/>
      <c r="C1" s="215"/>
      <c r="D1" s="215"/>
      <c r="E1" s="215"/>
      <c r="F1" s="215"/>
      <c r="G1" s="216"/>
      <c r="H1" s="58" t="s">
        <v>31</v>
      </c>
    </row>
    <row r="2" spans="1:8" s="113" customFormat="1" ht="12.75" x14ac:dyDescent="0.2">
      <c r="A2" s="217" t="str">
        <f>Setup!$B$11</f>
        <v>Κ. Χατζηδάκης</v>
      </c>
      <c r="B2" s="217"/>
      <c r="C2" s="217"/>
      <c r="D2" s="217"/>
      <c r="E2" s="217"/>
      <c r="F2" s="218"/>
      <c r="G2" s="219"/>
    </row>
    <row r="3" spans="1:8" s="15" customFormat="1" ht="25.15" customHeight="1" x14ac:dyDescent="0.2">
      <c r="A3" s="196" t="s">
        <v>28</v>
      </c>
      <c r="B3" s="197"/>
      <c r="C3" s="197"/>
      <c r="D3" s="198"/>
      <c r="E3" s="199" t="s">
        <v>55</v>
      </c>
      <c r="F3" s="382" t="s">
        <v>54</v>
      </c>
      <c r="G3" s="212"/>
    </row>
    <row r="4" spans="1:8" x14ac:dyDescent="0.2">
      <c r="A4" s="200" t="s">
        <v>14</v>
      </c>
      <c r="B4" s="200" t="s">
        <v>15</v>
      </c>
      <c r="C4" s="201" t="s">
        <v>26</v>
      </c>
      <c r="D4" s="202"/>
      <c r="E4" s="203" t="s">
        <v>26</v>
      </c>
      <c r="F4" s="383"/>
      <c r="G4" s="211"/>
    </row>
    <row r="5" spans="1:8" x14ac:dyDescent="0.2">
      <c r="A5" s="204" t="s">
        <v>16</v>
      </c>
      <c r="B5" s="205" t="str">
        <f>Setup!$B$8</f>
        <v>Α12</v>
      </c>
      <c r="C5" s="206" t="str">
        <f>IF(OR(MD!J5="bye",MD!J5="LWD"),"",CONCATENATE(LEFT(MD!J5,FIND(" ",MD!J5)+1)," (",MD!L5,")"))</f>
        <v>ΜΑΤΣΑΜΑΚΗΣ Ε (Ο.Α.ΧΑΝΙΩΝ)</v>
      </c>
      <c r="D5" s="207" t="str">
        <f>IF(OR(C5="",E5="")," ","-")</f>
        <v xml:space="preserve"> </v>
      </c>
      <c r="E5" s="206" t="str">
        <f>IF(OR(MD!J6="bye",MD!J6="LWD"), "", CONCATENATE(LEFT(MD!J6,FIND(" ",MD!J6)+1)," (",MD!L6,")"))</f>
        <v/>
      </c>
      <c r="F5" s="208"/>
      <c r="G5" s="211"/>
    </row>
    <row r="6" spans="1:8" x14ac:dyDescent="0.2">
      <c r="A6" s="204"/>
      <c r="B6" s="205" t="str">
        <f>Setup!$B$8</f>
        <v>Α12</v>
      </c>
      <c r="C6" s="206" t="str">
        <f>IF(OR(MD!J7="bye",MD!J7="LWD"),"",CONCATENATE(LEFT(MD!J7,FIND(" ",MD!J7)+1)," (",MD!L7,")"))</f>
        <v>ΚΩΣΤΑΚΗΣ Ε (ΗΡΑΚΛΕΙΟ Ο.Α.&amp; Α.)</v>
      </c>
      <c r="D6" s="207" t="str">
        <f t="shared" ref="D6:D20" si="0">IF(OR(C6="",E6="")," ","-")</f>
        <v>-</v>
      </c>
      <c r="E6" s="206" t="str">
        <f>IF(OR(MD!J8="bye",MD!J8="LWD"), "", CONCATENATE(LEFT(MD!J8,FIND(" ",MD!J8)+1)," (",MD!L8,")"))</f>
        <v>ΒΟΛΤΥΡΑΚΗΣ Ε (Ο.Α.ΧΑΝΙΩΝ)</v>
      </c>
      <c r="F6" s="208"/>
      <c r="G6" s="211"/>
    </row>
    <row r="7" spans="1:8" x14ac:dyDescent="0.2">
      <c r="A7" s="204"/>
      <c r="B7" s="205" t="str">
        <f>Setup!$B$8</f>
        <v>Α12</v>
      </c>
      <c r="C7" s="206" t="str">
        <f>IF(OR(MD!J9="bye",MD!J9="LWD"),"",CONCATENATE(LEFT(MD!J9,FIND(" ",MD!J9)+1)," (",MD!L9,")"))</f>
        <v>ΠΕΡΔΙΚΑΚΗΣ Ε (Γ.Σ.ΛΙΒΥΚΟΣ ΙΕΡΑΠΕΤΡΑΣ)</v>
      </c>
      <c r="D7" s="207" t="str">
        <f t="shared" si="0"/>
        <v>-</v>
      </c>
      <c r="E7" s="206" t="str">
        <f>IF(OR(MD!J10="bye",MD!J10="LWD"), "", CONCATENATE(LEFT(MD!J10,FIND(" ",MD!J10)+1)," (",MD!L10,")"))</f>
        <v>ΦΟΥΝΤΟΥΛΑΚΗΣ Ν (Ο.Α.ΧΑΝΙΩΝ)</v>
      </c>
      <c r="F7" s="208"/>
      <c r="G7" s="211"/>
    </row>
    <row r="8" spans="1:8" x14ac:dyDescent="0.2">
      <c r="A8" s="204"/>
      <c r="B8" s="205" t="str">
        <f>Setup!$B$8</f>
        <v>Α12</v>
      </c>
      <c r="C8" s="206" t="str">
        <f>IF(OR(MD!J11="bye",MD!J11="LWD"),"",CONCATENATE(LEFT(MD!J11,FIND(" ",MD!J11)+1)," (",MD!L11,")"))</f>
        <v/>
      </c>
      <c r="D8" s="207" t="str">
        <f t="shared" si="0"/>
        <v xml:space="preserve"> </v>
      </c>
      <c r="E8" s="206" t="str">
        <f>IF(OR(MD!J12="bye",MD!J12="LWD"), "", CONCATENATE(LEFT(MD!J12,FIND(" ",MD!J12)+1)," (",MD!L12,")"))</f>
        <v>ΠΕΤΡΑΚΗΣ Σ (Ο.Α.ΧΑΝΙΩΝ)</v>
      </c>
      <c r="F8" s="208"/>
      <c r="G8" s="211"/>
    </row>
    <row r="9" spans="1:8" x14ac:dyDescent="0.2">
      <c r="A9" s="204" t="s">
        <v>17</v>
      </c>
      <c r="B9" s="205" t="str">
        <f>Setup!$B$8</f>
        <v>Α12</v>
      </c>
      <c r="C9" s="206" t="str">
        <f>IF(OR(MD!J13="bye",MD!J13="LWD"),"",CONCATENATE(LEFT(MD!J13,FIND(" ",MD!J13)+1)," (",MD!L13,")"))</f>
        <v>ΓΕΝΝΑΡΑΚΗΣ Ν (ΗΡΑΚΛΕΙΟ Ο.Α.&amp; Α.)</v>
      </c>
      <c r="D9" s="207" t="str">
        <f t="shared" si="0"/>
        <v xml:space="preserve"> </v>
      </c>
      <c r="E9" s="206" t="str">
        <f>IF(OR(MD!J14="bye",MD!J14="LWD"), "", CONCATENATE(LEFT(MD!J14,FIND(" ",MD!J14)+1)," (",MD!L14,")"))</f>
        <v/>
      </c>
      <c r="F9" s="208"/>
      <c r="G9" s="211"/>
    </row>
    <row r="10" spans="1:8" x14ac:dyDescent="0.2">
      <c r="A10" s="209"/>
      <c r="B10" s="205" t="str">
        <f>Setup!$B$8</f>
        <v>Α12</v>
      </c>
      <c r="C10" s="206" t="str">
        <f>IF(OR(MD!J15="bye",MD!J15="LWD"),"",CONCATENATE(LEFT(MD!J15,FIND(" ",MD!J15)+1)," (",MD!L15,")"))</f>
        <v>ΜΠΟΥΝΑΚΗΣ Δ (ΗΡΑΚΛΕΙΟ Ο.Α.&amp; Α.)</v>
      </c>
      <c r="D10" s="207" t="str">
        <f t="shared" si="0"/>
        <v>-</v>
      </c>
      <c r="E10" s="206" t="str">
        <f>IF(OR(MD!J16="bye",MD!J16="LWD"), "", CONCATENATE(LEFT(MD!J16,FIND(" ",MD!J16)+1)," (",MD!L16,")"))</f>
        <v>ΚΑΛΑΤΖΗΣ Α (ΗΡΑΚΛΕΙΟ Ο.Α.&amp; Α.)</v>
      </c>
      <c r="F10" s="208"/>
      <c r="G10" s="211"/>
    </row>
    <row r="11" spans="1:8" x14ac:dyDescent="0.2">
      <c r="A11" s="210"/>
      <c r="B11" s="205" t="str">
        <f>Setup!$B$8</f>
        <v>Α12</v>
      </c>
      <c r="C11" s="206" t="str">
        <f>IF(OR(MD!J17="bye",MD!J17="LWD"),"",CONCATENATE(LEFT(MD!J17,FIND(" ",MD!J17)+1)," (",MD!L17,")"))</f>
        <v>ΚΑΡΑΚΩΣΤΑΣ Σ (ΗΡΑΚΛΕΙΟ Ο.Α.&amp; Α.)</v>
      </c>
      <c r="D11" s="207" t="str">
        <f t="shared" si="0"/>
        <v>-</v>
      </c>
      <c r="E11" s="206" t="str">
        <f>IF(OR(MD!J18="bye",MD!J18="LWD"), "", CONCATENATE(LEFT(MD!J18,FIND(" ",MD!J18)+1)," (",MD!L18,")"))</f>
        <v>ΒΕΛΕΝΤΑΚΗΣ Ι (ΗΡΑΚΛΕΙΟ Ο.Α.&amp; Α.)</v>
      </c>
      <c r="F11" s="208"/>
      <c r="G11" s="211"/>
    </row>
    <row r="12" spans="1:8" x14ac:dyDescent="0.2">
      <c r="A12" s="210"/>
      <c r="B12" s="205" t="str">
        <f>Setup!$B$8</f>
        <v>Α12</v>
      </c>
      <c r="C12" s="206" t="str">
        <f>IF(OR(MD!J19="bye",MD!J19="LWD"),"",CONCATENATE(LEFT(MD!J19,FIND(" ",MD!J19)+1)," (",MD!L19,")"))</f>
        <v>ΝΙΝΟΣ Ν (Ο.Α.ΡΕΘΥΜΝΟΥ)</v>
      </c>
      <c r="D12" s="207" t="str">
        <f t="shared" si="0"/>
        <v>-</v>
      </c>
      <c r="E12" s="206" t="str">
        <f>IF(OR(MD!J20="bye",MD!J20="LWD"), "", CONCATENATE(LEFT(MD!J20,FIND(" ",MD!J20)+1)," (",MD!L20,")"))</f>
        <v>ΚΟΚΚΙΝΑΚΗΣ Γ (Ο.Α.ΧΑΝΙΩΝ)</v>
      </c>
      <c r="F12" s="208"/>
      <c r="G12" s="211"/>
    </row>
    <row r="13" spans="1:8" x14ac:dyDescent="0.2">
      <c r="A13" s="204" t="s">
        <v>17</v>
      </c>
      <c r="B13" s="205" t="str">
        <f>Setup!$B$8</f>
        <v>Α12</v>
      </c>
      <c r="C13" s="206" t="str">
        <f>IF(OR(MD!J21="bye",MD!J21="LWD"),"",CONCATENATE(LEFT(MD!J21,FIND(" ",MD!J21)+1)," (",MD!L21,")"))</f>
        <v>ΧΑΛΑΚΑΤΕΒΑΚΗΣ Α (Ο.Α.ΧΑΝΙΩΝ)</v>
      </c>
      <c r="D13" s="207" t="str">
        <f t="shared" si="0"/>
        <v xml:space="preserve"> </v>
      </c>
      <c r="E13" s="206" t="str">
        <f>IF(OR(MD!J22="bye",MD!J22="LWD"), "", CONCATENATE(LEFT(MD!J22,FIND(" ",MD!J22)+1)," (",MD!L22,")"))</f>
        <v/>
      </c>
      <c r="F13" s="208"/>
      <c r="G13" s="211"/>
    </row>
    <row r="14" spans="1:8" x14ac:dyDescent="0.2">
      <c r="A14" s="210"/>
      <c r="B14" s="205" t="str">
        <f>Setup!$B$8</f>
        <v>Α12</v>
      </c>
      <c r="C14" s="206" t="str">
        <f>IF(OR(MD!J23="bye",MD!J23="LWD"),"",CONCATENATE(LEFT(MD!J23,FIND(" ",MD!J23)+1)," (",MD!L23,")"))</f>
        <v>ΣΤΡΟΜΠΑ Ι (Ο.Α.ΧΑΝΙΩΝ)</v>
      </c>
      <c r="D14" s="207" t="str">
        <f t="shared" si="0"/>
        <v>-</v>
      </c>
      <c r="E14" s="206" t="str">
        <f>IF(OR(MD!J24="bye",MD!J24="LWD"), "", CONCATENATE(LEFT(MD!J24,FIND(" ",MD!J24)+1)," (",MD!L24,")"))</f>
        <v>ΒΕΓΟΠΟΥΛΟΣ Χ (ΦΙΛΙΑ Τ.Κ.)</v>
      </c>
      <c r="F14" s="208"/>
      <c r="G14" s="211"/>
    </row>
    <row r="15" spans="1:8" x14ac:dyDescent="0.2">
      <c r="A15" s="209"/>
      <c r="B15" s="205" t="str">
        <f>Setup!$B$8</f>
        <v>Α12</v>
      </c>
      <c r="C15" s="206" t="str">
        <f>IF(OR(MD!J25="bye",MD!J25="LWD"),"",CONCATENATE(LEFT(MD!J25,FIND(" ",MD!J25)+1)," (",MD!L25,")"))</f>
        <v>ΜΑΡΑΚΗΣ Μ (Ο.Α.ΧΑΝΙΩΝ)</v>
      </c>
      <c r="D15" s="207" t="str">
        <f t="shared" si="0"/>
        <v>-</v>
      </c>
      <c r="E15" s="206" t="str">
        <f>IF(OR(MD!J26="bye",MD!J26="LWD"), "", CONCATENATE(LEFT(MD!J26,FIND(" ",MD!J26)+1)," (",MD!L26,")"))</f>
        <v>ΞΙΑΡΧΟΣ Ε (Α.Ο.ΛΑΤΩ ΑΓ.ΝΙΚΟΛΑΟΥ)</v>
      </c>
      <c r="F15" s="208"/>
      <c r="G15" s="211"/>
    </row>
    <row r="16" spans="1:8" x14ac:dyDescent="0.2">
      <c r="A16" s="210"/>
      <c r="B16" s="205" t="str">
        <f>Setup!$B$8</f>
        <v>Α12</v>
      </c>
      <c r="C16" s="206" t="str">
        <f>IF(OR(MD!J27="bye",MD!J27="LWD"),"",CONCATENATE(LEFT(MD!J27,FIND(" ",MD!J27)+1)," (",MD!L27,")"))</f>
        <v/>
      </c>
      <c r="D16" s="207" t="str">
        <f t="shared" si="0"/>
        <v xml:space="preserve"> </v>
      </c>
      <c r="E16" s="206" t="str">
        <f>IF(OR(MD!J28="bye",MD!J28="LWD"), "", CONCATENATE(LEFT(MD!J28,FIND(" ",MD!J28)+1)," (",MD!L28,")"))</f>
        <v>ΖΕΡΒΟΣ Σ (Ο.Α.ΧΑΝΙΩΝ)</v>
      </c>
      <c r="F16" s="208"/>
      <c r="G16" s="211"/>
    </row>
    <row r="17" spans="1:7" x14ac:dyDescent="0.2">
      <c r="A17" s="204" t="s">
        <v>17</v>
      </c>
      <c r="B17" s="205" t="str">
        <f>Setup!$B$8</f>
        <v>Α12</v>
      </c>
      <c r="C17" s="206" t="str">
        <f>IF(OR(MD!J29="bye",MD!J29="LWD"),"",CONCATENATE(LEFT(MD!J29,FIND(" ",MD!J29)+1)," (",MD!L29,")"))</f>
        <v>ΣΠΥΡΟΠΟΥΛΟΣ Ν (Ο.Α.ΡΕΘΥΜΝΟΥ)</v>
      </c>
      <c r="D17" s="207" t="str">
        <f t="shared" si="0"/>
        <v>-</v>
      </c>
      <c r="E17" s="206" t="str">
        <f>IF(OR(MD!J30="bye",MD!J30="LWD"), "", CONCATENATE(LEFT(MD!J30,FIND(" ",MD!J30)+1)," (",MD!L30,")"))</f>
        <v>ΝΕΚΤΑΡΙΟΣ Α (ΗΡΑΚΛΕΙΟ Ο.Α.&amp; Α.)</v>
      </c>
      <c r="F17" s="208"/>
      <c r="G17" s="211"/>
    </row>
    <row r="18" spans="1:7" x14ac:dyDescent="0.2">
      <c r="A18" s="210"/>
      <c r="B18" s="205" t="str">
        <f>Setup!$B$8</f>
        <v>Α12</v>
      </c>
      <c r="C18" s="206" t="str">
        <f>IF(OR(MD!J31="bye",MD!J31="LWD"),"",CONCATENATE(LEFT(MD!J31,FIND(" ",MD!J31)+1)," (",MD!L31,")"))</f>
        <v>ΤΑΒΕΡΝΑΡΑΚΗΣ Ε (ΗΡΑΚΛΕΙΟ Ο.Α.&amp; Α.)</v>
      </c>
      <c r="D18" s="207" t="str">
        <f t="shared" si="0"/>
        <v>-</v>
      </c>
      <c r="E18" s="206" t="str">
        <f>IF(OR(MD!J32="bye",MD!J32="LWD"), "", CONCATENATE(LEFT(MD!J32,FIND(" ",MD!J32)+1)," (",MD!L32,")"))</f>
        <v>ΤΣΙΤΟΥΝΗΣ Μ (ΦΙΛΙΑ Τ.Κ.)</v>
      </c>
      <c r="F18" s="208"/>
      <c r="G18" s="211"/>
    </row>
    <row r="19" spans="1:7" x14ac:dyDescent="0.2">
      <c r="A19" s="210"/>
      <c r="B19" s="205" t="str">
        <f>Setup!$B$8</f>
        <v>Α12</v>
      </c>
      <c r="C19" s="206" t="str">
        <f>IF(OR(MD!J33="bye",MD!J33="LWD"),"",CONCATENATE(LEFT(MD!J33,FIND(" ",MD!J33)+1)," (",MD!L33,")"))</f>
        <v>ΚΟΚΚΑΛΗΣ Σ (Γ.Σ.ΛΙΒΥΚΟΣ ΙΕΡΑΠΕΤΡΑΣ)</v>
      </c>
      <c r="D19" s="207" t="str">
        <f t="shared" si="0"/>
        <v>-</v>
      </c>
      <c r="E19" s="206" t="str">
        <f>IF(OR(MD!J34="bye",MD!J34="LWD"), "", CONCATENATE(LEFT(MD!J34,FIND(" ",MD!J34)+1)," (",MD!L34,")"))</f>
        <v>ΚΑΫΜΕΝΑΚΗΣ Α (Ο.Α.ΧΑΝΙΩΝ)</v>
      </c>
      <c r="F19" s="208"/>
      <c r="G19" s="211"/>
    </row>
    <row r="20" spans="1:7" x14ac:dyDescent="0.2">
      <c r="A20" s="204"/>
      <c r="B20" s="205" t="str">
        <f>Setup!$B$8</f>
        <v>Α12</v>
      </c>
      <c r="C20" s="206" t="str">
        <f>IF(OR(MD!J35="bye",MD!J35="LWD"),"",CONCATENATE(LEFT(MD!J35,FIND(" ",MD!J35)+1)," (",MD!L35,")"))</f>
        <v/>
      </c>
      <c r="D20" s="207" t="str">
        <f t="shared" si="0"/>
        <v xml:space="preserve"> </v>
      </c>
      <c r="E20" s="206" t="str">
        <f>IF(OR(MD!J36="bye",MD!J36="LWD"), "", CONCATENATE(LEFT(MD!J36,FIND(" ",MD!J36)+1)," (",MD!L36,")"))</f>
        <v>ΜΑΝΔΑΛΕΝΑΚΗΣ Α (ΗΡΑΚΛΕΙΟ Ο.Α.&amp; Α.)</v>
      </c>
      <c r="F20" s="208"/>
      <c r="G20" s="211"/>
    </row>
    <row r="21" spans="1:7" x14ac:dyDescent="0.2">
      <c r="A21" s="209"/>
      <c r="B21" s="211"/>
      <c r="C21" s="211"/>
      <c r="D21" s="211"/>
      <c r="E21" s="211"/>
      <c r="F21" s="211"/>
      <c r="G21" s="211"/>
    </row>
    <row r="22" spans="1:7" ht="25.15" customHeight="1" x14ac:dyDescent="0.2">
      <c r="A22" s="196" t="s">
        <v>28</v>
      </c>
      <c r="B22" s="197"/>
      <c r="C22" s="197"/>
      <c r="D22" s="198"/>
      <c r="E22" s="199" t="s">
        <v>30</v>
      </c>
      <c r="F22" s="382" t="s">
        <v>54</v>
      </c>
      <c r="G22" s="211"/>
    </row>
    <row r="23" spans="1:7" ht="12" customHeight="1" x14ac:dyDescent="0.2">
      <c r="A23" s="200" t="s">
        <v>14</v>
      </c>
      <c r="B23" s="200" t="s">
        <v>15</v>
      </c>
      <c r="C23" s="201" t="s">
        <v>26</v>
      </c>
      <c r="D23" s="202"/>
      <c r="E23" s="203" t="s">
        <v>26</v>
      </c>
      <c r="F23" s="383"/>
      <c r="G23" s="211"/>
    </row>
    <row r="24" spans="1:7" x14ac:dyDescent="0.2">
      <c r="A24" s="204" t="s">
        <v>16</v>
      </c>
      <c r="B24" s="205" t="str">
        <f>Setup!$B$8</f>
        <v>Α12</v>
      </c>
      <c r="C24" s="206" t="str">
        <f>IF(MD!M5="", "", IF(MD!M5=1, CONCATENATE(LEFT(MD!J5,FIND(" ",MD!J5)+1)," (",MD!L5,")"),CONCATENATE(LEFT(MD!J6,FIND(" ",MD!J6)+1)," (",MD!L6,")")))</f>
        <v>ΜΑΤΣΑΜΑΚΗΣ Ε (Ο.Α.ΧΑΝΙΩΝ)</v>
      </c>
      <c r="D24" s="207" t="str">
        <f t="shared" ref="D24:D31" si="1">IF(OR(C24="",E24="")," ","-")</f>
        <v>-</v>
      </c>
      <c r="E24" s="206" t="str">
        <f>IF(MD!M7="", "", IF(MD!M7=1, CONCATENATE(LEFT(MD!J7,FIND(" ",MD!J7)+1)," (",MD!L7,")"),CONCATENATE(LEFT(MD!J8,FIND(" ",MD!J8)+1)," (",MD!L8,")")))</f>
        <v>ΒΟΛΤΥΡΑΚΗΣ Ε (Ο.Α.ΧΑΝΙΩΝ)</v>
      </c>
      <c r="F24" s="208"/>
      <c r="G24" s="211"/>
    </row>
    <row r="25" spans="1:7" x14ac:dyDescent="0.2">
      <c r="A25" s="204"/>
      <c r="B25" s="205" t="str">
        <f>Setup!$B$8</f>
        <v>Α12</v>
      </c>
      <c r="C25" s="206" t="str">
        <f>IF(MD!M9="", "", IF(MD!M9=1, CONCATENATE(LEFT(MD!J9,FIND(" ",MD!J9)+1)," (",MD!L9,")"),CONCATENATE(LEFT(MD!J10,FIND(" ",MD!J10)+1)," (",MD!L10,")")))</f>
        <v>ΠΕΡΔΙΚΑΚΗΣ Ε (Γ.Σ.ΛΙΒΥΚΟΣ ΙΕΡΑΠΕΤΡΑΣ)</v>
      </c>
      <c r="D25" s="207" t="str">
        <f t="shared" si="1"/>
        <v>-</v>
      </c>
      <c r="E25" s="206" t="str">
        <f>IF(MD!M11="", "", IF(MD!M11=1, CONCATENATE(LEFT(MD!J11,FIND(" ",MD!J11)+1)," (",MD!L11,")"),CONCATENATE(LEFT(MD!J12,FIND(" ",MD!J12)+1)," (",MD!L12,")")))</f>
        <v>ΠΕΤΡΑΚΗΣ Σ (Ο.Α.ΧΑΝΙΩΝ)</v>
      </c>
      <c r="F25" s="208"/>
      <c r="G25" s="211"/>
    </row>
    <row r="26" spans="1:7" x14ac:dyDescent="0.2">
      <c r="A26" s="204"/>
      <c r="B26" s="205" t="str">
        <f>Setup!$B$8</f>
        <v>Α12</v>
      </c>
      <c r="C26" s="206" t="str">
        <f>IF(MD!M13="", "", IF(MD!M13=1, CONCATENATE(LEFT(MD!J13,FIND(" ",MD!J13)+1)," (",MD!L13,")"),CONCATENATE(LEFT(MD!J14,FIND(" ",MD!J14)+1)," (",MD!L14,")")))</f>
        <v>ΓΕΝΝΑΡΑΚΗΣ Ν (ΗΡΑΚΛΕΙΟ Ο.Α.&amp; Α.)</v>
      </c>
      <c r="D26" s="207" t="str">
        <f t="shared" si="1"/>
        <v>-</v>
      </c>
      <c r="E26" s="206" t="str">
        <f>IF(MD!M15="", "", IF(MD!M15=1, CONCATENATE(LEFT(MD!J15,FIND(" ",MD!J15)+1)," (",MD!L15,")"),CONCATENATE(LEFT(MD!J16,FIND(" ",MD!J16)+1)," (",MD!L16,")")))</f>
        <v>ΜΠΟΥΝΑΚΗΣ Δ (ΗΡΑΚΛΕΙΟ Ο.Α.&amp; Α.)</v>
      </c>
      <c r="F26" s="208"/>
      <c r="G26" s="211"/>
    </row>
    <row r="27" spans="1:7" x14ac:dyDescent="0.2">
      <c r="A27" s="204"/>
      <c r="B27" s="205" t="str">
        <f>Setup!$B$8</f>
        <v>Α12</v>
      </c>
      <c r="C27" s="206" t="str">
        <f>IF(MD!M17="", "", IF(MD!M17=1, CONCATENATE(LEFT(MD!J17,FIND(" ",MD!J17)+1)," (",MD!L17,")"),CONCATENATE(LEFT(MD!J18,FIND(" ",MD!J18)+1)," (",MD!L18,")")))</f>
        <v>ΚΑΡΑΚΩΣΤΑΣ Σ (ΗΡΑΚΛΕΙΟ Ο.Α.&amp; Α.)</v>
      </c>
      <c r="D27" s="207" t="str">
        <f t="shared" si="1"/>
        <v>-</v>
      </c>
      <c r="E27" s="206" t="str">
        <f>IF(MD!M19="", "", IF(MD!M19=1, CONCATENATE(LEFT(MD!J19,FIND(" ",MD!J19)+1)," (",MD!L19,")"),CONCATENATE(LEFT(MD!J20,FIND(" ",MD!J20)+1)," (",MD!L20,")")))</f>
        <v>ΚΟΚΚΙΝΑΚΗΣ Γ (Ο.Α.ΧΑΝΙΩΝ)</v>
      </c>
      <c r="F27" s="208"/>
      <c r="G27" s="211"/>
    </row>
    <row r="28" spans="1:7" x14ac:dyDescent="0.2">
      <c r="A28" s="204" t="s">
        <v>17</v>
      </c>
      <c r="B28" s="205" t="str">
        <f>Setup!$B$8</f>
        <v>Α12</v>
      </c>
      <c r="C28" s="206" t="str">
        <f>IF(MD!M21="", "", IF(MD!M21=1, CONCATENATE(LEFT(MD!J21,FIND(" ",MD!J21)+1)," (",MD!L21,")"),CONCATENATE(LEFT(MD!J22,FIND(" ",MD!J22)+1)," (",MD!L22,")")))</f>
        <v>ΧΑΛΑΚΑΤΕΒΑΚΗΣ Α (Ο.Α.ΧΑΝΙΩΝ)</v>
      </c>
      <c r="D28" s="207" t="str">
        <f t="shared" si="1"/>
        <v>-</v>
      </c>
      <c r="E28" s="206" t="str">
        <f>IF(MD!M23="", "", IF(MD!M23=1, CONCATENATE(LEFT(MD!J23,FIND(" ",MD!J23)+1)," (",MD!L23,")"),CONCATENATE(LEFT(MD!J24,FIND(" ",MD!J24)+1)," (",MD!L24,")")))</f>
        <v>ΣΤΡΟΜΠΑ Ι (Ο.Α.ΧΑΝΙΩΝ)</v>
      </c>
      <c r="F28" s="208"/>
      <c r="G28" s="211"/>
    </row>
    <row r="29" spans="1:7" x14ac:dyDescent="0.2">
      <c r="A29" s="209"/>
      <c r="B29" s="205" t="str">
        <f>Setup!$B$8</f>
        <v>Α12</v>
      </c>
      <c r="C29" s="206" t="str">
        <f>IF(MD!M25="", "", IF(MD!M25=1, CONCATENATE(LEFT(MD!J25,FIND(" ",MD!J25)+1)," (",MD!L25,")"),CONCATENATE(LEFT(MD!J26,FIND(" ",MD!J26)+1)," (",MD!L26,")")))</f>
        <v>ΜΑΡΑΚΗΣ Μ (Ο.Α.ΧΑΝΙΩΝ)</v>
      </c>
      <c r="D29" s="207" t="str">
        <f t="shared" si="1"/>
        <v>-</v>
      </c>
      <c r="E29" s="206" t="str">
        <f>IF(MD!M27="", "", IF(MD!M27=1, CONCATENATE(LEFT(MD!J27,FIND(" ",MD!J27)+1)," (",MD!L27,")"),CONCATENATE(LEFT(MD!J28,FIND(" ",MD!J28)+1)," (",MD!L28,")")))</f>
        <v>ΖΕΡΒΟΣ Σ (Ο.Α.ΧΑΝΙΩΝ)</v>
      </c>
      <c r="F29" s="208"/>
      <c r="G29" s="211"/>
    </row>
    <row r="30" spans="1:7" x14ac:dyDescent="0.2">
      <c r="A30" s="210"/>
      <c r="B30" s="205" t="str">
        <f>Setup!$B$8</f>
        <v>Α12</v>
      </c>
      <c r="C30" s="206" t="str">
        <f>IF(MD!M29="", "", IF(MD!M29=1, CONCATENATE(LEFT(MD!J29,FIND(" ",MD!J29)+1)," (",MD!L29,")"),CONCATENATE(LEFT(MD!J30,FIND(" ",MD!J30)+1)," (",MD!L30,")")))</f>
        <v>ΣΠΥΡΟΠΟΥΛΟΣ Ν (Ο.Α.ΡΕΘΥΜΝΟΥ)</v>
      </c>
      <c r="D30" s="207" t="str">
        <f t="shared" si="1"/>
        <v>-</v>
      </c>
      <c r="E30" s="206" t="str">
        <f>IF(MD!M31="", "", IF(MD!M31=1, CONCATENATE(LEFT(MD!J31,FIND(" ",MD!J31)+1)," (",MD!L31,")"),CONCATENATE(LEFT(MD!J32,FIND(" ",MD!J32)+1)," (",MD!L32,")")))</f>
        <v>ΤΑΒΕΡΝΑΡΑΚΗΣ Ε (ΗΡΑΚΛΕΙΟ Ο.Α.&amp; Α.)</v>
      </c>
      <c r="F30" s="208"/>
      <c r="G30" s="211"/>
    </row>
    <row r="31" spans="1:7" x14ac:dyDescent="0.2">
      <c r="A31" s="210"/>
      <c r="B31" s="205" t="str">
        <f>Setup!$B$8</f>
        <v>Α12</v>
      </c>
      <c r="C31" s="206" t="str">
        <f>IF(MD!M33="", "", IF(MD!M33=1, CONCATENATE(LEFT(MD!J33,FIND(" ",MD!J33)+1)," (",MD!L33,")"),CONCATENATE(LEFT(MD!J34,FIND(" ",MD!J34)+1)," (",MD!L34,")")))</f>
        <v>ΚΑΫΜΕΝΑΚΗΣ Α (Ο.Α.ΧΑΝΙΩΝ)</v>
      </c>
      <c r="D31" s="207" t="str">
        <f t="shared" si="1"/>
        <v>-</v>
      </c>
      <c r="E31" s="206" t="str">
        <f>IF(MD!M35="", "", IF(MD!M35=1, CONCATENATE(LEFT(MD!J35,FIND(" ",MD!J35)+1)," (",MD!L35,")"),CONCATENATE(LEFT(MD!J36,FIND(" ",MD!J36)+1)," (",MD!L36,")")))</f>
        <v>ΜΑΝΔΑΛΕΝΑΚΗΣ Α (ΗΡΑΚΛΕΙΟ Ο.Α.&amp; Α.)</v>
      </c>
      <c r="F31" s="208"/>
      <c r="G31" s="211"/>
    </row>
    <row r="32" spans="1:7" x14ac:dyDescent="0.2">
      <c r="A32" s="209"/>
      <c r="B32" s="211"/>
      <c r="C32" s="211"/>
      <c r="D32" s="211"/>
      <c r="E32" s="211"/>
      <c r="F32" s="211"/>
      <c r="G32" s="211"/>
    </row>
    <row r="33" spans="1:7" x14ac:dyDescent="0.2">
      <c r="A33" s="209"/>
      <c r="B33" s="211"/>
      <c r="C33" s="211"/>
      <c r="D33" s="211"/>
      <c r="E33" s="211"/>
      <c r="F33" s="211"/>
      <c r="G33" s="211"/>
    </row>
    <row r="34" spans="1:7" x14ac:dyDescent="0.2">
      <c r="A34" s="209"/>
      <c r="B34" s="211"/>
      <c r="C34" s="211"/>
      <c r="D34" s="211"/>
      <c r="E34" s="211"/>
      <c r="F34" s="211"/>
      <c r="G34" s="211"/>
    </row>
    <row r="35" spans="1:7" x14ac:dyDescent="0.2">
      <c r="A35" s="209"/>
      <c r="B35" s="211"/>
      <c r="C35" s="211"/>
      <c r="D35" s="211"/>
      <c r="E35" s="211"/>
      <c r="F35" s="211"/>
      <c r="G35" s="211"/>
    </row>
    <row r="36" spans="1:7" x14ac:dyDescent="0.2">
      <c r="A36" s="209"/>
      <c r="B36" s="211"/>
      <c r="C36" s="211"/>
      <c r="D36" s="211"/>
      <c r="E36" s="211"/>
      <c r="F36" s="211"/>
      <c r="G36" s="211"/>
    </row>
    <row r="37" spans="1:7" ht="15" x14ac:dyDescent="0.2">
      <c r="A37" s="59" t="s">
        <v>31</v>
      </c>
      <c r="B37" s="60"/>
      <c r="C37" s="60"/>
      <c r="D37" s="60"/>
      <c r="E37" s="60"/>
    </row>
  </sheetData>
  <sheetProtection password="CF33" sheet="1" objects="1" scenarios="1" formatColumns="0" formatRows="0" sort="0"/>
  <mergeCells count="2">
    <mergeCell ref="F3:F4"/>
    <mergeCell ref="F22:F23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8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85546875" style="7" bestFit="1" customWidth="1"/>
    <col min="2" max="2" width="7.28515625" style="5" bestFit="1" customWidth="1"/>
    <col min="3" max="3" width="10" style="6" bestFit="1" customWidth="1"/>
    <col min="4" max="4" width="8.85546875" style="109"/>
    <col min="5" max="5" width="5" style="109" bestFit="1" customWidth="1"/>
    <col min="6" max="7" width="5.42578125" style="109" bestFit="1" customWidth="1"/>
    <col min="8" max="10" width="4.42578125" style="109" bestFit="1" customWidth="1"/>
    <col min="11" max="11" width="5.28515625" style="109" bestFit="1" customWidth="1"/>
    <col min="12" max="12" width="5.28515625" style="56" bestFit="1" customWidth="1"/>
    <col min="13" max="13" width="6.140625" style="56" bestFit="1" customWidth="1"/>
    <col min="14" max="14" width="8.85546875" style="109"/>
    <col min="15" max="15" width="8.85546875" style="4"/>
    <col min="16" max="16" width="7.42578125" style="111" bestFit="1" customWidth="1"/>
    <col min="17" max="17" width="6" style="111" bestFit="1" customWidth="1"/>
    <col min="18" max="18" width="6.7109375" style="111" bestFit="1" customWidth="1"/>
    <col min="19" max="16384" width="8.85546875" style="4"/>
  </cols>
  <sheetData>
    <row r="1" spans="1:18" ht="12" customHeight="1" x14ac:dyDescent="0.2">
      <c r="A1" s="2" t="s">
        <v>39</v>
      </c>
      <c r="B1" s="1" t="s">
        <v>40</v>
      </c>
      <c r="C1" s="3" t="s">
        <v>41</v>
      </c>
      <c r="E1" s="116"/>
      <c r="F1" s="117" t="s">
        <v>76</v>
      </c>
      <c r="G1" s="117" t="s">
        <v>77</v>
      </c>
      <c r="H1" s="118" t="s">
        <v>12</v>
      </c>
      <c r="I1" s="118" t="s">
        <v>13</v>
      </c>
      <c r="J1" s="118" t="s">
        <v>78</v>
      </c>
      <c r="K1" s="118" t="s">
        <v>79</v>
      </c>
      <c r="L1" s="112"/>
      <c r="M1" s="112"/>
      <c r="P1" s="362" t="s">
        <v>57</v>
      </c>
      <c r="Q1" s="110" t="s">
        <v>134</v>
      </c>
      <c r="R1" s="110" t="s">
        <v>135</v>
      </c>
    </row>
    <row r="2" spans="1:18" x14ac:dyDescent="0.2">
      <c r="A2" s="7">
        <v>1</v>
      </c>
      <c r="B2" s="108">
        <f t="shared" ref="B2:B3" ca="1" si="0">RAND()/222</f>
        <v>1.4902448672906941E-3</v>
      </c>
      <c r="C2" s="6">
        <v>2.2591646294891051E-3</v>
      </c>
      <c r="E2" s="119" t="s">
        <v>80</v>
      </c>
      <c r="F2" s="120">
        <v>30</v>
      </c>
      <c r="G2" s="121">
        <v>25</v>
      </c>
      <c r="H2" s="121">
        <v>15</v>
      </c>
      <c r="I2" s="121">
        <v>10</v>
      </c>
      <c r="J2" s="121">
        <v>7.5</v>
      </c>
      <c r="K2" s="121">
        <v>5</v>
      </c>
      <c r="L2" s="112"/>
      <c r="M2" s="112"/>
      <c r="P2" s="360" t="s">
        <v>72</v>
      </c>
      <c r="Q2" s="111" t="s">
        <v>72</v>
      </c>
      <c r="R2" s="111" t="s">
        <v>120</v>
      </c>
    </row>
    <row r="3" spans="1:18" x14ac:dyDescent="0.2">
      <c r="A3" s="7">
        <v>2</v>
      </c>
      <c r="B3" s="108">
        <f t="shared" ca="1" si="0"/>
        <v>2.6578711671515843E-3</v>
      </c>
      <c r="C3" s="6">
        <v>1.3782004344844291E-3</v>
      </c>
      <c r="E3" s="119" t="s">
        <v>81</v>
      </c>
      <c r="F3" s="116">
        <v>60</v>
      </c>
      <c r="G3" s="122">
        <v>50</v>
      </c>
      <c r="H3" s="122">
        <v>30</v>
      </c>
      <c r="I3" s="122">
        <v>20</v>
      </c>
      <c r="J3" s="122">
        <v>15</v>
      </c>
      <c r="K3" s="122">
        <v>10</v>
      </c>
      <c r="L3" s="112"/>
      <c r="M3" s="112"/>
      <c r="P3" s="360" t="s">
        <v>64</v>
      </c>
      <c r="Q3" s="111" t="s">
        <v>64</v>
      </c>
      <c r="R3" s="111" t="s">
        <v>121</v>
      </c>
    </row>
    <row r="4" spans="1:18" x14ac:dyDescent="0.2">
      <c r="A4" s="7">
        <v>3</v>
      </c>
      <c r="B4" s="108">
        <f ca="1">RAND()/222</f>
        <v>1.1186494110028515E-3</v>
      </c>
      <c r="C4" s="6">
        <v>2.7921291534137617E-3</v>
      </c>
      <c r="E4" s="119" t="s">
        <v>82</v>
      </c>
      <c r="F4" s="116">
        <v>120</v>
      </c>
      <c r="G4" s="122">
        <v>100</v>
      </c>
      <c r="H4" s="122">
        <v>60</v>
      </c>
      <c r="I4" s="122">
        <v>40</v>
      </c>
      <c r="J4" s="122">
        <v>30</v>
      </c>
      <c r="K4" s="122">
        <v>20</v>
      </c>
      <c r="L4" s="112"/>
      <c r="M4" s="112"/>
      <c r="P4" s="360" t="s">
        <v>65</v>
      </c>
      <c r="Q4" s="111" t="s">
        <v>65</v>
      </c>
      <c r="R4" s="111" t="s">
        <v>122</v>
      </c>
    </row>
    <row r="5" spans="1:18" x14ac:dyDescent="0.2">
      <c r="A5" s="7">
        <v>4</v>
      </c>
      <c r="B5" s="108">
        <f ca="1">RAND()/222</f>
        <v>2.7912771211533583E-4</v>
      </c>
      <c r="C5" s="6">
        <v>3.7720781966312684E-3</v>
      </c>
      <c r="E5" s="119" t="s">
        <v>83</v>
      </c>
      <c r="F5" s="123">
        <v>150</v>
      </c>
      <c r="G5" s="124">
        <v>125</v>
      </c>
      <c r="H5" s="124">
        <v>75</v>
      </c>
      <c r="I5" s="124">
        <v>50</v>
      </c>
      <c r="J5" s="124">
        <v>37.5</v>
      </c>
      <c r="K5" s="124">
        <v>25</v>
      </c>
      <c r="L5" s="112"/>
      <c r="M5" s="112"/>
      <c r="P5" s="360" t="s">
        <v>66</v>
      </c>
      <c r="Q5" s="111" t="s">
        <v>66</v>
      </c>
      <c r="R5" s="111" t="s">
        <v>123</v>
      </c>
    </row>
    <row r="6" spans="1:18" x14ac:dyDescent="0.2">
      <c r="A6" s="7">
        <v>5</v>
      </c>
      <c r="B6" s="108">
        <f ca="1">RAND()/222</f>
        <v>3.439461412806375E-3</v>
      </c>
      <c r="C6" s="6">
        <v>1.555645607844698E-3</v>
      </c>
      <c r="E6" s="119" t="s">
        <v>84</v>
      </c>
      <c r="F6" s="120">
        <v>15</v>
      </c>
      <c r="G6" s="121">
        <v>12.5</v>
      </c>
      <c r="H6" s="121">
        <v>7.5</v>
      </c>
      <c r="I6" s="121">
        <v>5</v>
      </c>
      <c r="J6" s="121">
        <v>4</v>
      </c>
      <c r="K6" s="121">
        <v>2.5</v>
      </c>
      <c r="L6" s="112"/>
      <c r="M6" s="112"/>
      <c r="P6" s="360" t="s">
        <v>67</v>
      </c>
      <c r="Q6" s="111" t="s">
        <v>67</v>
      </c>
      <c r="R6" s="111" t="s">
        <v>124</v>
      </c>
    </row>
    <row r="7" spans="1:18" x14ac:dyDescent="0.2">
      <c r="A7" s="7">
        <v>6</v>
      </c>
      <c r="B7" s="108">
        <f ca="1">RAND()/222</f>
        <v>6.2160423120227986E-4</v>
      </c>
      <c r="C7" s="6">
        <v>3.6701533162968075E-3</v>
      </c>
      <c r="E7" s="119" t="s">
        <v>85</v>
      </c>
      <c r="F7" s="116">
        <v>30</v>
      </c>
      <c r="G7" s="122">
        <v>25</v>
      </c>
      <c r="H7" s="122">
        <v>15</v>
      </c>
      <c r="I7" s="122">
        <v>10</v>
      </c>
      <c r="J7" s="122">
        <v>8</v>
      </c>
      <c r="K7" s="122">
        <v>5</v>
      </c>
      <c r="L7" s="112"/>
      <c r="M7" s="112"/>
      <c r="P7" s="360" t="s">
        <v>73</v>
      </c>
      <c r="Q7" s="111" t="s">
        <v>73</v>
      </c>
      <c r="R7" s="111" t="s">
        <v>125</v>
      </c>
    </row>
    <row r="8" spans="1:18" x14ac:dyDescent="0.2">
      <c r="A8" s="7">
        <v>7</v>
      </c>
      <c r="B8" s="108">
        <f t="shared" ref="B8:B33" ca="1" si="1">RAND()/222</f>
        <v>3.8080867788397484E-3</v>
      </c>
      <c r="C8" s="6">
        <v>2.8714698777152652E-3</v>
      </c>
      <c r="E8" s="119" t="s">
        <v>86</v>
      </c>
      <c r="F8" s="123">
        <v>60</v>
      </c>
      <c r="G8" s="124">
        <v>50</v>
      </c>
      <c r="H8" s="124">
        <v>30</v>
      </c>
      <c r="I8" s="124">
        <v>20</v>
      </c>
      <c r="J8" s="124">
        <v>16</v>
      </c>
      <c r="K8" s="124">
        <v>10</v>
      </c>
      <c r="L8" s="112"/>
      <c r="M8" s="112"/>
      <c r="P8" s="360" t="s">
        <v>68</v>
      </c>
      <c r="Q8" s="111" t="s">
        <v>68</v>
      </c>
      <c r="R8" s="111" t="s">
        <v>126</v>
      </c>
    </row>
    <row r="9" spans="1:18" x14ac:dyDescent="0.2">
      <c r="A9" s="7">
        <v>8</v>
      </c>
      <c r="B9" s="108">
        <f t="shared" ca="1" si="1"/>
        <v>2.1527898268387764E-4</v>
      </c>
      <c r="C9" s="6">
        <v>5.1329639305528992E-4</v>
      </c>
      <c r="E9" s="125" t="s">
        <v>87</v>
      </c>
      <c r="F9" s="116">
        <v>6</v>
      </c>
      <c r="G9" s="122">
        <v>5</v>
      </c>
      <c r="H9" s="122">
        <v>3</v>
      </c>
      <c r="I9" s="122">
        <v>2</v>
      </c>
      <c r="J9" s="122">
        <v>1.5</v>
      </c>
      <c r="K9" s="122">
        <v>1</v>
      </c>
      <c r="L9" s="112"/>
      <c r="M9" s="112"/>
      <c r="P9" s="360" t="s">
        <v>69</v>
      </c>
      <c r="Q9" s="111" t="s">
        <v>69</v>
      </c>
      <c r="R9" s="111" t="s">
        <v>127</v>
      </c>
    </row>
    <row r="10" spans="1:18" x14ac:dyDescent="0.2">
      <c r="A10" s="7">
        <v>9</v>
      </c>
      <c r="B10" s="108">
        <f t="shared" ca="1" si="1"/>
        <v>2.2274336259334405E-3</v>
      </c>
      <c r="C10" s="6">
        <v>3.7230987475287761E-3</v>
      </c>
      <c r="E10" s="119" t="s">
        <v>88</v>
      </c>
      <c r="F10" s="116">
        <v>12</v>
      </c>
      <c r="G10" s="122">
        <v>10</v>
      </c>
      <c r="H10" s="122">
        <v>6</v>
      </c>
      <c r="I10" s="122">
        <v>4</v>
      </c>
      <c r="J10" s="122">
        <v>3</v>
      </c>
      <c r="K10" s="122">
        <v>2</v>
      </c>
      <c r="L10" s="112"/>
      <c r="M10" s="112"/>
      <c r="P10" s="360" t="s">
        <v>70</v>
      </c>
      <c r="Q10" s="111" t="s">
        <v>70</v>
      </c>
      <c r="R10" s="111" t="s">
        <v>128</v>
      </c>
    </row>
    <row r="11" spans="1:18" x14ac:dyDescent="0.2">
      <c r="A11" s="7">
        <v>10</v>
      </c>
      <c r="B11" s="108">
        <f t="shared" ca="1" si="1"/>
        <v>8.7542753210281344E-4</v>
      </c>
      <c r="C11" s="6">
        <v>3.7372904363756395E-3</v>
      </c>
      <c r="E11" s="119" t="s">
        <v>89</v>
      </c>
      <c r="F11" s="123">
        <v>24</v>
      </c>
      <c r="G11" s="124">
        <v>20</v>
      </c>
      <c r="H11" s="124">
        <v>12</v>
      </c>
      <c r="I11" s="124">
        <v>8</v>
      </c>
      <c r="J11" s="124">
        <v>6</v>
      </c>
      <c r="K11" s="124">
        <v>4</v>
      </c>
      <c r="L11" s="112"/>
      <c r="M11" s="112"/>
      <c r="P11" s="360" t="s">
        <v>71</v>
      </c>
      <c r="Q11" s="111" t="s">
        <v>71</v>
      </c>
      <c r="R11" s="111" t="s">
        <v>129</v>
      </c>
    </row>
    <row r="12" spans="1:18" x14ac:dyDescent="0.2">
      <c r="A12" s="7">
        <v>11</v>
      </c>
      <c r="B12" s="108">
        <f t="shared" ca="1" si="1"/>
        <v>2.1208012985274825E-3</v>
      </c>
      <c r="C12" s="6">
        <v>2.2698813283050239E-4</v>
      </c>
      <c r="E12" s="125" t="s">
        <v>138</v>
      </c>
      <c r="F12" s="121">
        <v>3</v>
      </c>
      <c r="G12" s="120">
        <v>2.5</v>
      </c>
      <c r="H12" s="120">
        <v>1.5</v>
      </c>
      <c r="I12" s="120">
        <v>1</v>
      </c>
      <c r="J12" s="120">
        <v>0.75</v>
      </c>
      <c r="K12" s="120">
        <v>0.5</v>
      </c>
      <c r="L12" s="112"/>
      <c r="M12" s="112"/>
      <c r="P12" s="360" t="s">
        <v>74</v>
      </c>
      <c r="Q12" s="111" t="s">
        <v>74</v>
      </c>
      <c r="R12" s="111" t="s">
        <v>130</v>
      </c>
    </row>
    <row r="13" spans="1:18" x14ac:dyDescent="0.2">
      <c r="A13" s="7">
        <v>12</v>
      </c>
      <c r="B13" s="108">
        <f t="shared" ca="1" si="1"/>
        <v>1.5904410083626233E-4</v>
      </c>
      <c r="C13" s="6">
        <v>4.2857185400005658E-4</v>
      </c>
      <c r="E13" s="119" t="s">
        <v>139</v>
      </c>
      <c r="F13" s="122">
        <v>6</v>
      </c>
      <c r="G13" s="116">
        <v>5</v>
      </c>
      <c r="H13" s="116">
        <v>3</v>
      </c>
      <c r="I13" s="116">
        <v>2</v>
      </c>
      <c r="J13" s="116">
        <v>1.5</v>
      </c>
      <c r="K13" s="116">
        <v>1</v>
      </c>
      <c r="L13" s="112"/>
      <c r="M13" s="112"/>
      <c r="P13" s="360" t="s">
        <v>75</v>
      </c>
      <c r="Q13" s="111" t="s">
        <v>75</v>
      </c>
      <c r="R13" s="111" t="s">
        <v>131</v>
      </c>
    </row>
    <row r="14" spans="1:18" x14ac:dyDescent="0.2">
      <c r="A14" s="7">
        <v>13</v>
      </c>
      <c r="B14" s="108">
        <f t="shared" ca="1" si="1"/>
        <v>1.9946707395759084E-3</v>
      </c>
      <c r="C14" s="6">
        <v>1.386922342771301E-3</v>
      </c>
      <c r="E14" s="119" t="s">
        <v>140</v>
      </c>
      <c r="F14" s="124">
        <v>12</v>
      </c>
      <c r="G14" s="123">
        <v>10</v>
      </c>
      <c r="H14" s="123">
        <v>6</v>
      </c>
      <c r="I14" s="123">
        <v>4</v>
      </c>
      <c r="J14" s="123">
        <v>3</v>
      </c>
      <c r="K14" s="123">
        <v>2</v>
      </c>
      <c r="L14" s="112"/>
      <c r="M14" s="112"/>
      <c r="P14" s="360" t="s">
        <v>58</v>
      </c>
      <c r="Q14" s="111" t="s">
        <v>58</v>
      </c>
      <c r="R14" s="111" t="s">
        <v>132</v>
      </c>
    </row>
    <row r="15" spans="1:18" x14ac:dyDescent="0.2">
      <c r="A15" s="7">
        <v>14</v>
      </c>
      <c r="B15" s="108">
        <f t="shared" ca="1" si="1"/>
        <v>5.3554200728492393E-4</v>
      </c>
      <c r="C15" s="6">
        <v>1.0703441458513113E-3</v>
      </c>
      <c r="E15" s="126"/>
      <c r="F15" s="112"/>
      <c r="G15" s="112"/>
      <c r="H15" s="112"/>
      <c r="I15" s="112"/>
      <c r="J15" s="112"/>
      <c r="K15" s="112"/>
      <c r="L15" s="112"/>
      <c r="M15" s="112"/>
      <c r="P15" s="360" t="s">
        <v>58</v>
      </c>
      <c r="Q15" s="111" t="s">
        <v>58</v>
      </c>
      <c r="R15" s="111" t="s">
        <v>133</v>
      </c>
    </row>
    <row r="16" spans="1:18" x14ac:dyDescent="0.2">
      <c r="A16" s="7">
        <v>15</v>
      </c>
      <c r="B16" s="108">
        <f t="shared" ca="1" si="1"/>
        <v>1.6878275484579523E-3</v>
      </c>
      <c r="C16" s="6">
        <v>3.1120555962469614E-3</v>
      </c>
      <c r="E16" s="126"/>
      <c r="F16" s="112"/>
      <c r="G16" s="112"/>
      <c r="H16" s="112"/>
      <c r="I16" s="112"/>
      <c r="J16" s="112"/>
      <c r="K16" s="112"/>
      <c r="L16" s="112"/>
      <c r="M16" s="112"/>
      <c r="P16" s="360" t="s">
        <v>58</v>
      </c>
      <c r="Q16" s="111" t="s">
        <v>58</v>
      </c>
      <c r="R16" s="111" t="s">
        <v>58</v>
      </c>
    </row>
    <row r="17" spans="1:13" x14ac:dyDescent="0.2">
      <c r="A17" s="7">
        <v>16</v>
      </c>
      <c r="B17" s="108">
        <f t="shared" ca="1" si="1"/>
        <v>2.6474416776322749E-3</v>
      </c>
      <c r="C17" s="6">
        <v>3.357696022143745E-3</v>
      </c>
      <c r="E17" s="126"/>
      <c r="F17" s="112"/>
      <c r="G17" s="112"/>
      <c r="H17" s="112"/>
      <c r="I17" s="112"/>
      <c r="J17" s="112"/>
      <c r="K17" s="112"/>
      <c r="L17" s="112"/>
      <c r="M17" s="112"/>
    </row>
    <row r="18" spans="1:13" x14ac:dyDescent="0.2">
      <c r="A18" s="7">
        <v>17</v>
      </c>
      <c r="B18" s="108">
        <f t="shared" ca="1" si="1"/>
        <v>4.2285242189106674E-3</v>
      </c>
      <c r="C18" s="6">
        <v>5.722843110124925E-4</v>
      </c>
      <c r="E18" s="126"/>
      <c r="F18" s="112"/>
      <c r="G18" s="112"/>
      <c r="H18" s="112"/>
      <c r="I18" s="112"/>
      <c r="J18" s="112"/>
      <c r="K18" s="112"/>
      <c r="L18" s="112"/>
      <c r="M18" s="112"/>
    </row>
    <row r="19" spans="1:13" x14ac:dyDescent="0.2">
      <c r="A19" s="7">
        <v>18</v>
      </c>
      <c r="B19" s="108">
        <f t="shared" ca="1" si="1"/>
        <v>9.6959297804320504E-4</v>
      </c>
      <c r="C19" s="6">
        <v>8.7217198940307264E-4</v>
      </c>
      <c r="E19" s="126"/>
      <c r="F19" s="112"/>
      <c r="G19" s="112"/>
      <c r="H19" s="112"/>
      <c r="I19" s="112"/>
      <c r="J19" s="112"/>
      <c r="K19" s="112"/>
      <c r="L19" s="112"/>
      <c r="M19" s="112"/>
    </row>
    <row r="20" spans="1:13" x14ac:dyDescent="0.2">
      <c r="A20" s="7">
        <v>19</v>
      </c>
      <c r="B20" s="108">
        <f t="shared" ca="1" si="1"/>
        <v>2.0046675353740319E-3</v>
      </c>
      <c r="C20" s="6">
        <v>5.5315349987074584E-4</v>
      </c>
      <c r="E20" s="126"/>
      <c r="F20" s="112"/>
      <c r="G20" s="112"/>
      <c r="H20" s="112"/>
      <c r="I20" s="112"/>
      <c r="J20" s="112"/>
      <c r="K20" s="112"/>
      <c r="L20" s="112"/>
      <c r="M20" s="112"/>
    </row>
    <row r="21" spans="1:13" x14ac:dyDescent="0.2">
      <c r="A21" s="7">
        <v>20</v>
      </c>
      <c r="B21" s="108">
        <f t="shared" ca="1" si="1"/>
        <v>2.9331628143074921E-3</v>
      </c>
      <c r="C21" s="6">
        <v>2.3190634468682509E-3</v>
      </c>
      <c r="E21" s="126"/>
      <c r="F21" s="112"/>
      <c r="G21" s="112"/>
      <c r="H21" s="112"/>
      <c r="I21" s="112"/>
      <c r="J21" s="112"/>
      <c r="K21" s="112"/>
      <c r="L21" s="112"/>
      <c r="M21" s="112"/>
    </row>
    <row r="22" spans="1:13" x14ac:dyDescent="0.2">
      <c r="A22" s="7">
        <v>21</v>
      </c>
      <c r="B22" s="108">
        <f t="shared" ca="1" si="1"/>
        <v>4.4206162126798855E-3</v>
      </c>
      <c r="C22" s="6">
        <v>2.0073761189277777E-3</v>
      </c>
      <c r="E22" s="126"/>
      <c r="F22" s="112"/>
      <c r="G22" s="112"/>
      <c r="H22" s="112"/>
      <c r="I22" s="112"/>
      <c r="J22" s="112"/>
      <c r="K22" s="112"/>
      <c r="L22" s="112"/>
      <c r="M22" s="112"/>
    </row>
    <row r="23" spans="1:13" x14ac:dyDescent="0.2">
      <c r="A23" s="7">
        <v>22</v>
      </c>
      <c r="B23" s="108">
        <f t="shared" ca="1" si="1"/>
        <v>3.2482348225708769E-3</v>
      </c>
      <c r="C23" s="6">
        <v>1.6368810726075556E-3</v>
      </c>
      <c r="E23" s="126"/>
      <c r="F23" s="112"/>
      <c r="G23" s="112"/>
      <c r="H23" s="112"/>
      <c r="I23" s="112"/>
      <c r="J23" s="112"/>
      <c r="K23" s="112"/>
      <c r="L23" s="112"/>
      <c r="M23" s="112"/>
    </row>
    <row r="24" spans="1:13" x14ac:dyDescent="0.2">
      <c r="A24" s="7">
        <v>23</v>
      </c>
      <c r="B24" s="108">
        <f t="shared" ca="1" si="1"/>
        <v>3.656671765737305E-3</v>
      </c>
      <c r="C24" s="6">
        <v>2.6259899448252059E-3</v>
      </c>
      <c r="E24" s="126"/>
      <c r="F24" s="112"/>
      <c r="G24" s="112"/>
      <c r="H24" s="112"/>
      <c r="I24" s="112"/>
      <c r="J24" s="112"/>
      <c r="K24" s="112"/>
      <c r="L24" s="112"/>
      <c r="M24" s="112"/>
    </row>
    <row r="25" spans="1:13" x14ac:dyDescent="0.2">
      <c r="A25" s="7">
        <v>24</v>
      </c>
      <c r="B25" s="108">
        <f t="shared" ca="1" si="1"/>
        <v>3.2091879406202866E-3</v>
      </c>
      <c r="C25" s="6">
        <v>2.2388702272682242E-3</v>
      </c>
      <c r="E25" s="126"/>
      <c r="F25" s="112"/>
      <c r="G25" s="112"/>
      <c r="H25" s="112"/>
      <c r="I25" s="112"/>
      <c r="J25" s="112"/>
      <c r="K25" s="112"/>
      <c r="L25" s="112"/>
      <c r="M25" s="112"/>
    </row>
    <row r="26" spans="1:13" ht="12" customHeight="1" x14ac:dyDescent="0.2">
      <c r="A26" s="7">
        <v>25</v>
      </c>
      <c r="B26" s="108">
        <f t="shared" ca="1" si="1"/>
        <v>3.9675150542105098E-3</v>
      </c>
      <c r="C26" s="6">
        <v>3.9756754636710969E-3</v>
      </c>
      <c r="E26" s="126"/>
      <c r="F26" s="112"/>
      <c r="G26" s="112"/>
      <c r="H26" s="112"/>
      <c r="I26" s="112"/>
      <c r="J26" s="112"/>
      <c r="K26" s="112"/>
      <c r="L26" s="112"/>
      <c r="M26" s="112"/>
    </row>
    <row r="27" spans="1:13" x14ac:dyDescent="0.2">
      <c r="A27" s="7">
        <v>26</v>
      </c>
      <c r="B27" s="108">
        <f t="shared" ca="1" si="1"/>
        <v>9.6882845257954809E-4</v>
      </c>
      <c r="C27" s="6">
        <v>7.9731975291604982E-4</v>
      </c>
      <c r="E27" s="126"/>
      <c r="F27" s="112"/>
      <c r="G27" s="112"/>
      <c r="H27" s="112"/>
      <c r="I27" s="112"/>
      <c r="J27" s="112"/>
      <c r="K27" s="112"/>
      <c r="L27" s="112"/>
      <c r="M27" s="112"/>
    </row>
    <row r="28" spans="1:13" ht="12" customHeight="1" x14ac:dyDescent="0.2">
      <c r="A28" s="7">
        <v>27</v>
      </c>
      <c r="B28" s="108">
        <f t="shared" ca="1" si="1"/>
        <v>3.9841237155924863E-3</v>
      </c>
      <c r="C28" s="6">
        <v>1.7765977383821226E-3</v>
      </c>
      <c r="E28" s="126"/>
      <c r="F28" s="112"/>
      <c r="G28" s="112"/>
      <c r="H28" s="112"/>
      <c r="I28" s="112"/>
      <c r="J28" s="112"/>
      <c r="K28" s="112"/>
      <c r="L28" s="112"/>
      <c r="M28" s="112"/>
    </row>
    <row r="29" spans="1:13" x14ac:dyDescent="0.2">
      <c r="A29" s="7">
        <v>28</v>
      </c>
      <c r="B29" s="108">
        <f t="shared" ca="1" si="1"/>
        <v>6.0618698533011339E-4</v>
      </c>
      <c r="C29" s="6">
        <v>1.2625026270289661E-3</v>
      </c>
      <c r="E29" s="126"/>
      <c r="F29" s="112"/>
      <c r="G29" s="112"/>
      <c r="H29" s="112"/>
      <c r="I29" s="112"/>
      <c r="J29" s="112"/>
      <c r="K29" s="112"/>
      <c r="L29" s="112"/>
      <c r="M29" s="112"/>
    </row>
    <row r="30" spans="1:13" x14ac:dyDescent="0.2">
      <c r="A30" s="7">
        <v>29</v>
      </c>
      <c r="B30" s="108">
        <f t="shared" ca="1" si="1"/>
        <v>2.689308937871877E-3</v>
      </c>
      <c r="C30" s="6">
        <v>3.1044096754783953E-3</v>
      </c>
      <c r="E30" s="126"/>
      <c r="F30" s="112"/>
      <c r="G30" s="112"/>
      <c r="H30" s="112"/>
      <c r="I30" s="112"/>
      <c r="J30" s="112"/>
      <c r="K30" s="112"/>
      <c r="L30" s="112"/>
      <c r="M30" s="112"/>
    </row>
    <row r="31" spans="1:13" x14ac:dyDescent="0.2">
      <c r="A31" s="7">
        <v>30</v>
      </c>
      <c r="B31" s="108">
        <f t="shared" ca="1" si="1"/>
        <v>8.213075321323065E-4</v>
      </c>
      <c r="C31" s="6">
        <v>2.6234777040750365E-4</v>
      </c>
      <c r="E31" s="126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7">
        <v>31</v>
      </c>
      <c r="B32" s="108">
        <f t="shared" ca="1" si="1"/>
        <v>7.5985697340465739E-4</v>
      </c>
      <c r="C32" s="6">
        <v>2.8952059832042252E-3</v>
      </c>
      <c r="E32" s="126"/>
      <c r="F32" s="112"/>
      <c r="G32" s="112"/>
      <c r="H32" s="112"/>
      <c r="I32" s="112"/>
      <c r="J32" s="112"/>
      <c r="K32" s="112"/>
      <c r="L32" s="112"/>
      <c r="M32" s="112"/>
    </row>
    <row r="33" spans="1:13" x14ac:dyDescent="0.2">
      <c r="A33" s="7">
        <v>32</v>
      </c>
      <c r="B33" s="108">
        <f t="shared" ca="1" si="1"/>
        <v>4.388530631013568E-5</v>
      </c>
      <c r="C33" s="6">
        <v>2.5870982399284021E-3</v>
      </c>
      <c r="E33" s="126"/>
      <c r="F33" s="112"/>
      <c r="G33" s="112"/>
      <c r="H33" s="112"/>
      <c r="I33" s="112"/>
      <c r="J33" s="112"/>
      <c r="K33" s="112"/>
      <c r="L33" s="112"/>
      <c r="M33" s="112"/>
    </row>
    <row r="34" spans="1:13" x14ac:dyDescent="0.2">
      <c r="E34" s="126"/>
      <c r="F34" s="112"/>
      <c r="G34" s="112"/>
      <c r="H34" s="112"/>
      <c r="I34" s="112"/>
      <c r="J34" s="112"/>
      <c r="K34" s="112"/>
      <c r="L34" s="112"/>
      <c r="M34" s="112"/>
    </row>
    <row r="35" spans="1:13" x14ac:dyDescent="0.2">
      <c r="E35" s="126"/>
      <c r="F35" s="112"/>
      <c r="G35" s="112"/>
      <c r="H35" s="112"/>
      <c r="I35" s="112"/>
      <c r="J35" s="112"/>
      <c r="K35" s="112"/>
      <c r="L35" s="112"/>
      <c r="M35" s="112"/>
    </row>
    <row r="36" spans="1:13" x14ac:dyDescent="0.2">
      <c r="E36" s="126"/>
      <c r="F36" s="112"/>
      <c r="G36" s="112"/>
      <c r="H36" s="112"/>
      <c r="I36" s="112"/>
      <c r="J36" s="112"/>
      <c r="K36" s="112"/>
      <c r="L36" s="112"/>
      <c r="M36" s="112"/>
    </row>
    <row r="37" spans="1:13" x14ac:dyDescent="0.2">
      <c r="E37" s="126"/>
      <c r="F37" s="112"/>
      <c r="G37" s="112"/>
      <c r="H37" s="112"/>
      <c r="I37" s="112"/>
      <c r="J37" s="112"/>
      <c r="K37" s="112"/>
      <c r="L37" s="112"/>
      <c r="M37" s="112"/>
    </row>
    <row r="38" spans="1:13" x14ac:dyDescent="0.2">
      <c r="E38" s="126"/>
      <c r="F38" s="112"/>
      <c r="G38" s="112"/>
      <c r="H38" s="112"/>
      <c r="I38" s="112"/>
      <c r="J38" s="112"/>
      <c r="K38" s="112"/>
      <c r="L38" s="112"/>
      <c r="M38" s="112"/>
    </row>
    <row r="39" spans="1:13" x14ac:dyDescent="0.2">
      <c r="E39" s="126"/>
      <c r="F39" s="112"/>
      <c r="G39" s="112"/>
      <c r="H39" s="112"/>
      <c r="I39" s="112"/>
      <c r="J39" s="112"/>
      <c r="K39" s="112"/>
      <c r="L39" s="112"/>
      <c r="M39" s="112"/>
    </row>
    <row r="40" spans="1:13" x14ac:dyDescent="0.2">
      <c r="E40" s="126"/>
      <c r="F40" s="112"/>
      <c r="G40" s="112"/>
      <c r="H40" s="112"/>
      <c r="I40" s="112"/>
      <c r="J40" s="112"/>
      <c r="K40" s="112"/>
      <c r="L40" s="112"/>
      <c r="M40" s="112"/>
    </row>
    <row r="41" spans="1:13" x14ac:dyDescent="0.2">
      <c r="E41" s="126"/>
      <c r="F41" s="112"/>
      <c r="G41" s="112"/>
      <c r="H41" s="112"/>
      <c r="I41" s="112"/>
      <c r="J41" s="112"/>
      <c r="K41" s="112"/>
      <c r="L41" s="112"/>
      <c r="M41" s="112"/>
    </row>
    <row r="42" spans="1:13" x14ac:dyDescent="0.2">
      <c r="E42" s="56"/>
      <c r="F42" s="56"/>
      <c r="G42" s="56"/>
      <c r="H42" s="56"/>
      <c r="I42" s="56"/>
      <c r="J42" s="56"/>
      <c r="K42" s="56"/>
    </row>
    <row r="43" spans="1:13" x14ac:dyDescent="0.2">
      <c r="E43" s="56"/>
      <c r="F43" s="56"/>
      <c r="G43" s="56"/>
      <c r="H43" s="56"/>
      <c r="I43" s="56"/>
      <c r="J43" s="56"/>
      <c r="K43" s="56"/>
    </row>
    <row r="44" spans="1:13" x14ac:dyDescent="0.2">
      <c r="E44" s="56"/>
      <c r="F44" s="56"/>
      <c r="G44" s="56"/>
      <c r="H44" s="56"/>
      <c r="I44" s="56"/>
      <c r="J44" s="56"/>
      <c r="K44" s="56"/>
    </row>
    <row r="45" spans="1:13" x14ac:dyDescent="0.2">
      <c r="E45" s="56"/>
      <c r="F45" s="56"/>
      <c r="G45" s="56"/>
      <c r="H45" s="56"/>
      <c r="I45" s="56"/>
      <c r="J45" s="56"/>
      <c r="K45" s="56"/>
    </row>
    <row r="46" spans="1:13" x14ac:dyDescent="0.2">
      <c r="E46" s="56"/>
      <c r="F46" s="56"/>
      <c r="G46" s="56"/>
      <c r="H46" s="56"/>
      <c r="I46" s="56"/>
      <c r="J46" s="56"/>
      <c r="K46" s="56"/>
    </row>
    <row r="47" spans="1:13" x14ac:dyDescent="0.2">
      <c r="E47" s="56"/>
      <c r="F47" s="56"/>
      <c r="G47" s="56"/>
      <c r="H47" s="56"/>
      <c r="I47" s="56"/>
      <c r="J47" s="56"/>
      <c r="K47" s="56"/>
    </row>
    <row r="48" spans="1:13" x14ac:dyDescent="0.2">
      <c r="E48" s="56"/>
      <c r="F48" s="56"/>
      <c r="G48" s="56"/>
      <c r="H48" s="56"/>
      <c r="I48" s="56"/>
      <c r="J48" s="56"/>
      <c r="K48" s="56"/>
    </row>
    <row r="49" spans="5:11" x14ac:dyDescent="0.2">
      <c r="E49" s="56"/>
      <c r="F49" s="56"/>
      <c r="G49" s="56"/>
      <c r="H49" s="56"/>
      <c r="I49" s="56"/>
      <c r="J49" s="56"/>
      <c r="K49" s="56"/>
    </row>
    <row r="50" spans="5:11" x14ac:dyDescent="0.2">
      <c r="E50" s="56"/>
      <c r="F50" s="56"/>
      <c r="G50" s="56"/>
      <c r="H50" s="56"/>
      <c r="I50" s="56"/>
      <c r="J50" s="56"/>
      <c r="K50" s="56"/>
    </row>
    <row r="51" spans="5:11" x14ac:dyDescent="0.2">
      <c r="E51" s="56"/>
      <c r="F51" s="56"/>
      <c r="G51" s="56"/>
      <c r="H51" s="56"/>
      <c r="I51" s="56"/>
      <c r="J51" s="56"/>
      <c r="K51" s="56"/>
    </row>
    <row r="52" spans="5:11" x14ac:dyDescent="0.2">
      <c r="E52" s="56"/>
      <c r="F52" s="56"/>
      <c r="G52" s="56"/>
      <c r="H52" s="56"/>
      <c r="I52" s="56"/>
      <c r="J52" s="56"/>
      <c r="K52" s="56"/>
    </row>
    <row r="53" spans="5:11" x14ac:dyDescent="0.2">
      <c r="E53" s="56"/>
      <c r="F53" s="56"/>
      <c r="G53" s="56"/>
      <c r="H53" s="56"/>
      <c r="I53" s="56"/>
      <c r="J53" s="56"/>
      <c r="K53" s="56"/>
    </row>
    <row r="54" spans="5:11" x14ac:dyDescent="0.2">
      <c r="E54" s="56"/>
      <c r="F54" s="56"/>
      <c r="G54" s="56"/>
      <c r="H54" s="56"/>
      <c r="I54" s="56"/>
      <c r="J54" s="56"/>
      <c r="K54" s="56"/>
    </row>
    <row r="55" spans="5:11" x14ac:dyDescent="0.2">
      <c r="E55" s="56"/>
      <c r="F55" s="56"/>
      <c r="G55" s="56"/>
      <c r="H55" s="56"/>
      <c r="I55" s="56"/>
      <c r="J55" s="56"/>
      <c r="K55" s="56"/>
    </row>
    <row r="56" spans="5:11" x14ac:dyDescent="0.2">
      <c r="E56" s="56"/>
      <c r="F56" s="56"/>
      <c r="G56" s="56"/>
      <c r="H56" s="56"/>
      <c r="I56" s="56"/>
      <c r="J56" s="56"/>
      <c r="K56" s="56"/>
    </row>
    <row r="57" spans="5:11" x14ac:dyDescent="0.2">
      <c r="E57" s="56"/>
      <c r="F57" s="56"/>
      <c r="G57" s="56"/>
      <c r="H57" s="56"/>
      <c r="I57" s="56"/>
      <c r="J57" s="56"/>
      <c r="K57" s="56"/>
    </row>
    <row r="58" spans="5:11" x14ac:dyDescent="0.2">
      <c r="E58" s="56"/>
      <c r="F58" s="56"/>
      <c r="G58" s="56"/>
      <c r="H58" s="56"/>
      <c r="I58" s="56"/>
      <c r="J58" s="56"/>
      <c r="K58" s="56"/>
    </row>
    <row r="59" spans="5:11" x14ac:dyDescent="0.2">
      <c r="E59" s="56"/>
      <c r="F59" s="56"/>
      <c r="G59" s="56"/>
      <c r="H59" s="56"/>
      <c r="I59" s="56"/>
      <c r="J59" s="56"/>
      <c r="K59" s="56"/>
    </row>
    <row r="60" spans="5:11" x14ac:dyDescent="0.2">
      <c r="E60" s="56"/>
      <c r="F60" s="56"/>
      <c r="G60" s="56"/>
      <c r="H60" s="56"/>
      <c r="I60" s="56"/>
      <c r="J60" s="56"/>
      <c r="K60" s="56"/>
    </row>
    <row r="61" spans="5:11" x14ac:dyDescent="0.2">
      <c r="E61" s="56"/>
      <c r="F61" s="56"/>
      <c r="G61" s="56"/>
      <c r="H61" s="56"/>
      <c r="I61" s="56"/>
      <c r="J61" s="56"/>
      <c r="K61" s="56"/>
    </row>
    <row r="62" spans="5:11" x14ac:dyDescent="0.2">
      <c r="E62" s="56"/>
      <c r="F62" s="56"/>
      <c r="G62" s="56"/>
      <c r="H62" s="56"/>
      <c r="I62" s="56"/>
      <c r="J62" s="56"/>
      <c r="K62" s="56"/>
    </row>
    <row r="63" spans="5:11" x14ac:dyDescent="0.2">
      <c r="E63" s="56"/>
      <c r="F63" s="56"/>
      <c r="G63" s="56"/>
      <c r="H63" s="56"/>
      <c r="I63" s="56"/>
      <c r="J63" s="56"/>
      <c r="K63" s="56"/>
    </row>
    <row r="64" spans="5:11" x14ac:dyDescent="0.2">
      <c r="E64" s="56"/>
      <c r="F64" s="56"/>
      <c r="G64" s="56"/>
      <c r="H64" s="56"/>
      <c r="I64" s="56"/>
      <c r="J64" s="56"/>
      <c r="K64" s="56"/>
    </row>
    <row r="65" spans="5:11" x14ac:dyDescent="0.2">
      <c r="E65" s="56"/>
      <c r="F65" s="56"/>
      <c r="G65" s="56"/>
      <c r="H65" s="56"/>
      <c r="I65" s="56"/>
      <c r="J65" s="56"/>
      <c r="K65" s="56"/>
    </row>
    <row r="66" spans="5:11" x14ac:dyDescent="0.2">
      <c r="E66" s="56"/>
      <c r="F66" s="56"/>
      <c r="G66" s="56"/>
      <c r="H66" s="56"/>
      <c r="I66" s="56"/>
      <c r="J66" s="56"/>
      <c r="K66" s="56"/>
    </row>
    <row r="67" spans="5:11" x14ac:dyDescent="0.2">
      <c r="E67" s="56"/>
      <c r="F67" s="56"/>
      <c r="G67" s="56"/>
      <c r="H67" s="56"/>
      <c r="I67" s="56"/>
      <c r="J67" s="56"/>
      <c r="K67" s="56"/>
    </row>
    <row r="68" spans="5:11" x14ac:dyDescent="0.2">
      <c r="E68" s="56"/>
      <c r="F68" s="56"/>
      <c r="G68" s="56"/>
      <c r="H68" s="56"/>
      <c r="I68" s="56"/>
      <c r="J68" s="56"/>
      <c r="K68" s="56"/>
    </row>
    <row r="69" spans="5:11" x14ac:dyDescent="0.2">
      <c r="E69" s="56"/>
      <c r="F69" s="56"/>
      <c r="G69" s="56"/>
      <c r="H69" s="56"/>
      <c r="I69" s="56"/>
      <c r="J69" s="56"/>
      <c r="K69" s="56"/>
    </row>
    <row r="70" spans="5:11" x14ac:dyDescent="0.2">
      <c r="E70" s="56"/>
      <c r="F70" s="56"/>
      <c r="G70" s="56"/>
      <c r="H70" s="56"/>
      <c r="I70" s="56"/>
      <c r="J70" s="56"/>
      <c r="K70" s="56"/>
    </row>
    <row r="71" spans="5:11" x14ac:dyDescent="0.2">
      <c r="E71" s="56"/>
      <c r="F71" s="56"/>
      <c r="G71" s="56"/>
      <c r="H71" s="56"/>
      <c r="I71" s="56"/>
      <c r="J71" s="56"/>
      <c r="K71" s="56"/>
    </row>
    <row r="72" spans="5:11" x14ac:dyDescent="0.2">
      <c r="E72" s="56"/>
      <c r="F72" s="56"/>
      <c r="G72" s="56"/>
      <c r="H72" s="56"/>
      <c r="I72" s="56"/>
      <c r="J72" s="56"/>
      <c r="K72" s="56"/>
    </row>
    <row r="73" spans="5:11" x14ac:dyDescent="0.2">
      <c r="E73" s="56"/>
      <c r="F73" s="56"/>
      <c r="G73" s="56"/>
      <c r="H73" s="56"/>
      <c r="I73" s="56"/>
      <c r="J73" s="56"/>
      <c r="K73" s="56"/>
    </row>
    <row r="74" spans="5:11" x14ac:dyDescent="0.2">
      <c r="E74" s="56"/>
      <c r="F74" s="56"/>
      <c r="G74" s="56"/>
      <c r="H74" s="56"/>
      <c r="I74" s="56"/>
      <c r="J74" s="56"/>
      <c r="K74" s="56"/>
    </row>
    <row r="75" spans="5:11" x14ac:dyDescent="0.2">
      <c r="E75" s="56"/>
      <c r="F75" s="56"/>
      <c r="G75" s="56"/>
      <c r="H75" s="56"/>
      <c r="I75" s="56"/>
      <c r="J75" s="56"/>
      <c r="K75" s="56"/>
    </row>
    <row r="76" spans="5:11" x14ac:dyDescent="0.2">
      <c r="E76" s="56"/>
      <c r="F76" s="56"/>
      <c r="G76" s="56"/>
      <c r="H76" s="56"/>
      <c r="I76" s="56"/>
      <c r="J76" s="56"/>
      <c r="K76" s="56"/>
    </row>
    <row r="77" spans="5:11" x14ac:dyDescent="0.2">
      <c r="E77" s="56"/>
      <c r="F77" s="56"/>
      <c r="G77" s="56"/>
      <c r="H77" s="56"/>
      <c r="I77" s="56"/>
      <c r="J77" s="56"/>
      <c r="K77" s="56"/>
    </row>
    <row r="78" spans="5:11" x14ac:dyDescent="0.2">
      <c r="E78" s="56"/>
      <c r="F78" s="56"/>
      <c r="G78" s="56"/>
      <c r="H78" s="56"/>
      <c r="I78" s="56"/>
      <c r="J78" s="56"/>
      <c r="K78" s="56"/>
    </row>
    <row r="79" spans="5:11" x14ac:dyDescent="0.2">
      <c r="E79" s="56"/>
      <c r="F79" s="56"/>
      <c r="G79" s="56"/>
      <c r="H79" s="56"/>
      <c r="I79" s="56"/>
      <c r="J79" s="56"/>
      <c r="K79" s="56"/>
    </row>
    <row r="80" spans="5:11" x14ac:dyDescent="0.2">
      <c r="E80" s="56"/>
      <c r="F80" s="56"/>
      <c r="G80" s="56"/>
      <c r="H80" s="56"/>
      <c r="I80" s="56"/>
      <c r="J80" s="56"/>
      <c r="K80" s="56"/>
    </row>
    <row r="81" spans="5:11" x14ac:dyDescent="0.2">
      <c r="E81" s="56"/>
      <c r="F81" s="56"/>
      <c r="G81" s="56"/>
      <c r="H81" s="56"/>
      <c r="I81" s="56"/>
      <c r="J81" s="56"/>
      <c r="K81" s="56"/>
    </row>
    <row r="82" spans="5:11" x14ac:dyDescent="0.2">
      <c r="E82" s="56"/>
      <c r="F82" s="56"/>
      <c r="G82" s="56"/>
      <c r="H82" s="56"/>
      <c r="I82" s="56"/>
      <c r="J82" s="56"/>
      <c r="K82" s="56"/>
    </row>
    <row r="83" spans="5:11" x14ac:dyDescent="0.2">
      <c r="E83" s="56"/>
      <c r="F83" s="56"/>
      <c r="G83" s="56"/>
      <c r="H83" s="56"/>
      <c r="I83" s="56"/>
      <c r="J83" s="56"/>
      <c r="K83" s="56"/>
    </row>
    <row r="84" spans="5:11" x14ac:dyDescent="0.2">
      <c r="E84" s="56"/>
      <c r="F84" s="56"/>
      <c r="G84" s="56"/>
      <c r="H84" s="56"/>
      <c r="I84" s="56"/>
      <c r="J84" s="56"/>
      <c r="K84" s="56"/>
    </row>
    <row r="85" spans="5:11" x14ac:dyDescent="0.2">
      <c r="E85" s="56"/>
      <c r="F85" s="56"/>
      <c r="G85" s="56"/>
      <c r="H85" s="56"/>
      <c r="I85" s="56"/>
      <c r="J85" s="56"/>
      <c r="K85" s="56"/>
    </row>
    <row r="86" spans="5:11" x14ac:dyDescent="0.2">
      <c r="E86" s="56"/>
      <c r="F86" s="56"/>
      <c r="G86" s="56"/>
      <c r="H86" s="56"/>
      <c r="I86" s="56"/>
      <c r="J86" s="56"/>
      <c r="K86" s="56"/>
    </row>
    <row r="87" spans="5:11" x14ac:dyDescent="0.2">
      <c r="E87" s="56"/>
      <c r="F87" s="56"/>
      <c r="G87" s="56"/>
      <c r="H87" s="56"/>
      <c r="I87" s="56"/>
      <c r="J87" s="56"/>
      <c r="K87" s="56"/>
    </row>
    <row r="88" spans="5:11" x14ac:dyDescent="0.2">
      <c r="E88" s="56"/>
      <c r="F88" s="56"/>
      <c r="G88" s="56"/>
      <c r="H88" s="56"/>
      <c r="I88" s="56"/>
      <c r="J88" s="56"/>
      <c r="K88" s="56"/>
    </row>
    <row r="89" spans="5:11" x14ac:dyDescent="0.2">
      <c r="E89" s="56"/>
      <c r="F89" s="56"/>
      <c r="G89" s="56"/>
      <c r="H89" s="56"/>
      <c r="I89" s="56"/>
      <c r="J89" s="56"/>
      <c r="K89" s="56"/>
    </row>
    <row r="90" spans="5:11" x14ac:dyDescent="0.2">
      <c r="E90" s="56"/>
      <c r="F90" s="56"/>
      <c r="G90" s="56"/>
      <c r="H90" s="56"/>
      <c r="I90" s="56"/>
      <c r="J90" s="56"/>
      <c r="K90" s="56"/>
    </row>
    <row r="91" spans="5:11" x14ac:dyDescent="0.2">
      <c r="E91" s="56"/>
      <c r="F91" s="56"/>
      <c r="G91" s="56"/>
      <c r="H91" s="56"/>
      <c r="I91" s="56"/>
      <c r="J91" s="56"/>
      <c r="K91" s="56"/>
    </row>
    <row r="92" spans="5:11" x14ac:dyDescent="0.2">
      <c r="E92" s="56"/>
      <c r="F92" s="56"/>
      <c r="G92" s="56"/>
      <c r="H92" s="56"/>
      <c r="I92" s="56"/>
      <c r="J92" s="56"/>
      <c r="K92" s="56"/>
    </row>
    <row r="93" spans="5:11" x14ac:dyDescent="0.2">
      <c r="E93" s="56"/>
      <c r="F93" s="56"/>
      <c r="G93" s="56"/>
      <c r="H93" s="56"/>
      <c r="I93" s="56"/>
      <c r="J93" s="56"/>
      <c r="K93" s="56"/>
    </row>
    <row r="94" spans="5:11" x14ac:dyDescent="0.2">
      <c r="E94" s="56"/>
      <c r="F94" s="56"/>
      <c r="G94" s="56"/>
      <c r="H94" s="56"/>
      <c r="I94" s="56"/>
      <c r="J94" s="56"/>
      <c r="K94" s="56"/>
    </row>
    <row r="95" spans="5:11" x14ac:dyDescent="0.2">
      <c r="E95" s="56"/>
      <c r="F95" s="56"/>
      <c r="G95" s="56"/>
      <c r="H95" s="56"/>
      <c r="I95" s="56"/>
      <c r="J95" s="56"/>
      <c r="K95" s="56"/>
    </row>
    <row r="96" spans="5:11" x14ac:dyDescent="0.2">
      <c r="E96" s="56"/>
      <c r="F96" s="56"/>
      <c r="G96" s="56"/>
      <c r="H96" s="56"/>
      <c r="I96" s="56"/>
      <c r="J96" s="56"/>
      <c r="K96" s="56"/>
    </row>
    <row r="97" spans="5:11" x14ac:dyDescent="0.2">
      <c r="E97" s="56"/>
      <c r="F97" s="56"/>
      <c r="G97" s="56"/>
      <c r="H97" s="56"/>
      <c r="I97" s="56"/>
      <c r="J97" s="56"/>
      <c r="K97" s="56"/>
    </row>
    <row r="98" spans="5:11" x14ac:dyDescent="0.2">
      <c r="E98" s="56"/>
      <c r="F98" s="56"/>
      <c r="G98" s="56"/>
      <c r="H98" s="56"/>
      <c r="I98" s="56"/>
      <c r="J98" s="56"/>
      <c r="K98" s="56"/>
    </row>
    <row r="99" spans="5:11" x14ac:dyDescent="0.2">
      <c r="E99" s="56"/>
      <c r="F99" s="56"/>
      <c r="G99" s="56"/>
      <c r="H99" s="56"/>
      <c r="I99" s="56"/>
      <c r="J99" s="56"/>
      <c r="K99" s="56"/>
    </row>
    <row r="100" spans="5:11" x14ac:dyDescent="0.2">
      <c r="E100" s="56"/>
      <c r="F100" s="56"/>
      <c r="G100" s="56"/>
      <c r="H100" s="56"/>
      <c r="I100" s="56"/>
      <c r="J100" s="56"/>
      <c r="K100" s="56"/>
    </row>
    <row r="101" spans="5:11" x14ac:dyDescent="0.2">
      <c r="E101" s="56"/>
      <c r="F101" s="56"/>
      <c r="G101" s="56"/>
      <c r="H101" s="56"/>
      <c r="I101" s="56"/>
      <c r="J101" s="56"/>
      <c r="K101" s="56"/>
    </row>
    <row r="102" spans="5:11" x14ac:dyDescent="0.2">
      <c r="E102" s="56"/>
      <c r="F102" s="56"/>
      <c r="G102" s="56"/>
      <c r="H102" s="56"/>
      <c r="I102" s="56"/>
      <c r="J102" s="56"/>
      <c r="K102" s="56"/>
    </row>
    <row r="103" spans="5:11" x14ac:dyDescent="0.2">
      <c r="E103" s="56"/>
      <c r="F103" s="56"/>
      <c r="G103" s="56"/>
      <c r="H103" s="56"/>
      <c r="I103" s="56"/>
      <c r="J103" s="56"/>
      <c r="K103" s="56"/>
    </row>
    <row r="104" spans="5:11" x14ac:dyDescent="0.2">
      <c r="E104" s="56"/>
      <c r="F104" s="56"/>
      <c r="G104" s="56"/>
      <c r="H104" s="56"/>
      <c r="I104" s="56"/>
      <c r="J104" s="56"/>
      <c r="K104" s="56"/>
    </row>
    <row r="105" spans="5:11" x14ac:dyDescent="0.2">
      <c r="E105" s="56"/>
      <c r="F105" s="56"/>
      <c r="G105" s="56"/>
      <c r="H105" s="56"/>
      <c r="I105" s="56"/>
      <c r="J105" s="56"/>
      <c r="K105" s="56"/>
    </row>
    <row r="106" spans="5:11" x14ac:dyDescent="0.2">
      <c r="E106" s="56"/>
      <c r="F106" s="56"/>
      <c r="G106" s="56"/>
      <c r="H106" s="56"/>
      <c r="I106" s="56"/>
      <c r="J106" s="56"/>
      <c r="K106" s="56"/>
    </row>
    <row r="107" spans="5:11" x14ac:dyDescent="0.2">
      <c r="E107" s="56"/>
      <c r="F107" s="56"/>
      <c r="G107" s="56"/>
      <c r="H107" s="56"/>
      <c r="I107" s="56"/>
      <c r="J107" s="56"/>
      <c r="K107" s="56"/>
    </row>
    <row r="108" spans="5:11" x14ac:dyDescent="0.2">
      <c r="E108" s="56"/>
      <c r="F108" s="56"/>
      <c r="G108" s="56"/>
      <c r="H108" s="56"/>
      <c r="I108" s="56"/>
      <c r="J108" s="56"/>
      <c r="K108" s="56"/>
    </row>
    <row r="109" spans="5:11" x14ac:dyDescent="0.2">
      <c r="E109" s="56"/>
      <c r="F109" s="56"/>
      <c r="G109" s="56"/>
      <c r="H109" s="56"/>
      <c r="I109" s="56"/>
      <c r="J109" s="56"/>
      <c r="K109" s="56"/>
    </row>
    <row r="110" spans="5:11" x14ac:dyDescent="0.2">
      <c r="E110" s="56"/>
      <c r="F110" s="56"/>
      <c r="G110" s="56"/>
      <c r="H110" s="56"/>
      <c r="I110" s="56"/>
      <c r="J110" s="56"/>
      <c r="K110" s="56"/>
    </row>
    <row r="111" spans="5:11" x14ac:dyDescent="0.2">
      <c r="E111" s="56"/>
      <c r="F111" s="56"/>
      <c r="G111" s="56"/>
      <c r="H111" s="56"/>
      <c r="I111" s="56"/>
      <c r="J111" s="56"/>
      <c r="K111" s="56"/>
    </row>
    <row r="112" spans="5:11" x14ac:dyDescent="0.2">
      <c r="E112" s="56"/>
      <c r="F112" s="56"/>
      <c r="G112" s="56"/>
      <c r="H112" s="56"/>
      <c r="I112" s="56"/>
      <c r="J112" s="56"/>
      <c r="K112" s="56"/>
    </row>
    <row r="113" spans="5:11" x14ac:dyDescent="0.2">
      <c r="E113" s="56"/>
      <c r="F113" s="56"/>
      <c r="G113" s="56"/>
      <c r="H113" s="56"/>
      <c r="I113" s="56"/>
      <c r="J113" s="56"/>
      <c r="K113" s="56"/>
    </row>
    <row r="114" spans="5:11" x14ac:dyDescent="0.2">
      <c r="E114" s="56"/>
      <c r="F114" s="56"/>
      <c r="G114" s="56"/>
      <c r="H114" s="56"/>
      <c r="I114" s="56"/>
      <c r="J114" s="56"/>
      <c r="K114" s="56"/>
    </row>
    <row r="115" spans="5:11" x14ac:dyDescent="0.2">
      <c r="E115" s="56"/>
      <c r="F115" s="56"/>
      <c r="G115" s="56"/>
      <c r="H115" s="56"/>
      <c r="I115" s="56"/>
      <c r="J115" s="56"/>
      <c r="K115" s="56"/>
    </row>
    <row r="116" spans="5:11" x14ac:dyDescent="0.2">
      <c r="E116" s="56"/>
      <c r="F116" s="56"/>
      <c r="G116" s="56"/>
      <c r="H116" s="56"/>
      <c r="I116" s="56"/>
      <c r="J116" s="56"/>
      <c r="K116" s="56"/>
    </row>
    <row r="117" spans="5:11" x14ac:dyDescent="0.2">
      <c r="E117" s="56"/>
      <c r="F117" s="56"/>
      <c r="G117" s="56"/>
      <c r="H117" s="56"/>
      <c r="I117" s="56"/>
      <c r="J117" s="56"/>
      <c r="K117" s="56"/>
    </row>
    <row r="118" spans="5:11" x14ac:dyDescent="0.2">
      <c r="E118" s="56"/>
      <c r="F118" s="56"/>
      <c r="G118" s="56"/>
      <c r="H118" s="56"/>
      <c r="I118" s="56"/>
      <c r="J118" s="56"/>
      <c r="K118" s="56"/>
    </row>
    <row r="119" spans="5:11" x14ac:dyDescent="0.2">
      <c r="E119" s="56"/>
      <c r="F119" s="56"/>
      <c r="G119" s="56"/>
      <c r="H119" s="56"/>
      <c r="I119" s="56"/>
      <c r="J119" s="56"/>
      <c r="K119" s="56"/>
    </row>
    <row r="120" spans="5:11" x14ac:dyDescent="0.2">
      <c r="E120" s="56"/>
      <c r="F120" s="56"/>
      <c r="G120" s="56"/>
      <c r="H120" s="56"/>
      <c r="I120" s="56"/>
      <c r="J120" s="56"/>
      <c r="K120" s="56"/>
    </row>
    <row r="121" spans="5:11" x14ac:dyDescent="0.2">
      <c r="E121" s="56"/>
      <c r="F121" s="56"/>
      <c r="G121" s="56"/>
      <c r="H121" s="56"/>
      <c r="I121" s="56"/>
      <c r="J121" s="56"/>
      <c r="K121" s="56"/>
    </row>
    <row r="122" spans="5:11" x14ac:dyDescent="0.2">
      <c r="E122" s="56"/>
      <c r="F122" s="56"/>
      <c r="G122" s="56"/>
      <c r="H122" s="56"/>
      <c r="I122" s="56"/>
      <c r="J122" s="56"/>
      <c r="K122" s="56"/>
    </row>
    <row r="123" spans="5:11" x14ac:dyDescent="0.2">
      <c r="E123" s="56"/>
      <c r="F123" s="56"/>
      <c r="G123" s="56"/>
      <c r="H123" s="56"/>
      <c r="I123" s="56"/>
      <c r="J123" s="56"/>
      <c r="K123" s="56"/>
    </row>
    <row r="124" spans="5:11" x14ac:dyDescent="0.2">
      <c r="E124" s="56"/>
      <c r="F124" s="56"/>
      <c r="G124" s="56"/>
      <c r="H124" s="56"/>
      <c r="I124" s="56"/>
      <c r="J124" s="56"/>
      <c r="K124" s="56"/>
    </row>
    <row r="125" spans="5:11" x14ac:dyDescent="0.2">
      <c r="E125" s="56"/>
      <c r="F125" s="56"/>
      <c r="G125" s="56"/>
      <c r="H125" s="56"/>
      <c r="I125" s="56"/>
      <c r="J125" s="56"/>
      <c r="K125" s="56"/>
    </row>
    <row r="126" spans="5:11" x14ac:dyDescent="0.2">
      <c r="E126" s="56"/>
      <c r="F126" s="56"/>
      <c r="G126" s="56"/>
      <c r="H126" s="56"/>
      <c r="I126" s="56"/>
      <c r="J126" s="56"/>
      <c r="K126" s="56"/>
    </row>
    <row r="127" spans="5:11" x14ac:dyDescent="0.2">
      <c r="E127" s="56"/>
      <c r="F127" s="56"/>
      <c r="G127" s="56"/>
      <c r="H127" s="56"/>
      <c r="I127" s="56"/>
      <c r="J127" s="56"/>
      <c r="K127" s="56"/>
    </row>
    <row r="128" spans="5:11" x14ac:dyDescent="0.2">
      <c r="E128" s="56"/>
      <c r="F128" s="56"/>
      <c r="G128" s="56"/>
      <c r="H128" s="56"/>
      <c r="I128" s="56"/>
      <c r="J128" s="56"/>
      <c r="K128" s="56"/>
    </row>
    <row r="129" spans="5:11" x14ac:dyDescent="0.2">
      <c r="E129" s="56"/>
      <c r="F129" s="56"/>
      <c r="G129" s="56"/>
      <c r="H129" s="56"/>
      <c r="I129" s="56"/>
      <c r="J129" s="56"/>
      <c r="K129" s="56"/>
    </row>
    <row r="130" spans="5:11" x14ac:dyDescent="0.2">
      <c r="E130" s="56"/>
      <c r="F130" s="56"/>
      <c r="G130" s="56"/>
      <c r="H130" s="56"/>
      <c r="I130" s="56"/>
      <c r="J130" s="56"/>
      <c r="K130" s="56"/>
    </row>
    <row r="131" spans="5:11" x14ac:dyDescent="0.2">
      <c r="E131" s="56"/>
      <c r="F131" s="56"/>
      <c r="G131" s="56"/>
      <c r="H131" s="56"/>
      <c r="I131" s="56"/>
      <c r="J131" s="56"/>
      <c r="K131" s="56"/>
    </row>
    <row r="132" spans="5:11" x14ac:dyDescent="0.2">
      <c r="E132" s="56"/>
      <c r="F132" s="56"/>
      <c r="G132" s="56"/>
      <c r="H132" s="56"/>
      <c r="I132" s="56"/>
      <c r="J132" s="56"/>
      <c r="K132" s="56"/>
    </row>
    <row r="133" spans="5:11" x14ac:dyDescent="0.2">
      <c r="E133" s="56"/>
      <c r="F133" s="56"/>
      <c r="G133" s="56"/>
      <c r="H133" s="56"/>
      <c r="I133" s="56"/>
      <c r="J133" s="56"/>
      <c r="K133" s="56"/>
    </row>
    <row r="134" spans="5:11" x14ac:dyDescent="0.2">
      <c r="E134" s="56"/>
      <c r="F134" s="56"/>
      <c r="G134" s="56"/>
      <c r="H134" s="56"/>
      <c r="I134" s="56"/>
      <c r="J134" s="56"/>
      <c r="K134" s="56"/>
    </row>
    <row r="135" spans="5:11" x14ac:dyDescent="0.2">
      <c r="E135" s="56"/>
      <c r="F135" s="56"/>
      <c r="G135" s="56"/>
      <c r="H135" s="56"/>
      <c r="I135" s="56"/>
      <c r="J135" s="56"/>
      <c r="K135" s="56"/>
    </row>
    <row r="136" spans="5:11" x14ac:dyDescent="0.2">
      <c r="E136" s="56"/>
      <c r="F136" s="56"/>
      <c r="G136" s="56"/>
      <c r="H136" s="56"/>
      <c r="I136" s="56"/>
      <c r="J136" s="56"/>
      <c r="K136" s="56"/>
    </row>
    <row r="137" spans="5:11" x14ac:dyDescent="0.2">
      <c r="E137" s="56"/>
      <c r="F137" s="56"/>
      <c r="G137" s="56"/>
      <c r="H137" s="56"/>
      <c r="I137" s="56"/>
      <c r="J137" s="56"/>
      <c r="K137" s="56"/>
    </row>
    <row r="138" spans="5:11" x14ac:dyDescent="0.2">
      <c r="E138" s="56"/>
      <c r="F138" s="56"/>
      <c r="G138" s="56"/>
      <c r="H138" s="56"/>
      <c r="I138" s="56"/>
      <c r="J138" s="56"/>
      <c r="K138" s="56"/>
    </row>
    <row r="139" spans="5:11" x14ac:dyDescent="0.2">
      <c r="E139" s="56"/>
      <c r="F139" s="56"/>
      <c r="G139" s="56"/>
      <c r="H139" s="56"/>
      <c r="I139" s="56"/>
      <c r="J139" s="56"/>
      <c r="K139" s="56"/>
    </row>
    <row r="140" spans="5:11" x14ac:dyDescent="0.2">
      <c r="E140" s="56"/>
      <c r="F140" s="56"/>
      <c r="G140" s="56"/>
      <c r="H140" s="56"/>
      <c r="I140" s="56"/>
      <c r="J140" s="56"/>
      <c r="K140" s="56"/>
    </row>
    <row r="141" spans="5:11" x14ac:dyDescent="0.2">
      <c r="E141" s="56"/>
      <c r="F141" s="56"/>
      <c r="G141" s="56"/>
      <c r="H141" s="56"/>
      <c r="I141" s="56"/>
      <c r="J141" s="56"/>
      <c r="K141" s="56"/>
    </row>
    <row r="142" spans="5:11" x14ac:dyDescent="0.2">
      <c r="E142" s="56"/>
      <c r="F142" s="56"/>
      <c r="G142" s="56"/>
      <c r="H142" s="56"/>
      <c r="I142" s="56"/>
      <c r="J142" s="56"/>
      <c r="K142" s="56"/>
    </row>
    <row r="143" spans="5:11" x14ac:dyDescent="0.2">
      <c r="E143" s="56"/>
      <c r="F143" s="56"/>
      <c r="G143" s="56"/>
      <c r="H143" s="56"/>
      <c r="I143" s="56"/>
      <c r="J143" s="56"/>
      <c r="K143" s="56"/>
    </row>
    <row r="144" spans="5:11" x14ac:dyDescent="0.2">
      <c r="E144" s="56"/>
      <c r="F144" s="56"/>
      <c r="G144" s="56"/>
      <c r="H144" s="56"/>
      <c r="I144" s="56"/>
      <c r="J144" s="56"/>
      <c r="K144" s="56"/>
    </row>
    <row r="145" spans="5:11" x14ac:dyDescent="0.2">
      <c r="E145" s="56"/>
      <c r="F145" s="56"/>
      <c r="G145" s="56"/>
      <c r="H145" s="56"/>
      <c r="I145" s="56"/>
      <c r="J145" s="56"/>
      <c r="K145" s="56"/>
    </row>
    <row r="146" spans="5:11" x14ac:dyDescent="0.2">
      <c r="E146" s="56"/>
      <c r="F146" s="56"/>
      <c r="G146" s="56"/>
      <c r="H146" s="56"/>
      <c r="I146" s="56"/>
      <c r="J146" s="56"/>
      <c r="K146" s="56"/>
    </row>
    <row r="147" spans="5:11" x14ac:dyDescent="0.2">
      <c r="E147" s="56"/>
      <c r="F147" s="56"/>
      <c r="G147" s="56"/>
      <c r="H147" s="56"/>
      <c r="I147" s="56"/>
      <c r="J147" s="56"/>
      <c r="K147" s="56"/>
    </row>
    <row r="148" spans="5:11" x14ac:dyDescent="0.2">
      <c r="E148" s="56"/>
      <c r="F148" s="56"/>
      <c r="G148" s="56"/>
      <c r="H148" s="56"/>
      <c r="I148" s="56"/>
      <c r="J148" s="56"/>
      <c r="K148" s="56"/>
    </row>
    <row r="149" spans="5:11" x14ac:dyDescent="0.2">
      <c r="E149" s="56"/>
      <c r="F149" s="56"/>
      <c r="G149" s="56"/>
      <c r="H149" s="56"/>
      <c r="I149" s="56"/>
      <c r="J149" s="56"/>
      <c r="K149" s="56"/>
    </row>
    <row r="150" spans="5:11" x14ac:dyDescent="0.2">
      <c r="E150" s="56"/>
      <c r="F150" s="56"/>
      <c r="G150" s="56"/>
      <c r="H150" s="56"/>
      <c r="I150" s="56"/>
      <c r="J150" s="56"/>
      <c r="K150" s="56"/>
    </row>
    <row r="151" spans="5:11" x14ac:dyDescent="0.2">
      <c r="E151" s="56"/>
      <c r="F151" s="56"/>
      <c r="G151" s="56"/>
      <c r="H151" s="56"/>
      <c r="I151" s="56"/>
      <c r="J151" s="56"/>
      <c r="K151" s="56"/>
    </row>
    <row r="152" spans="5:11" x14ac:dyDescent="0.2">
      <c r="E152" s="56"/>
      <c r="F152" s="56"/>
      <c r="G152" s="56"/>
      <c r="H152" s="56"/>
      <c r="I152" s="56"/>
      <c r="J152" s="56"/>
      <c r="K152" s="56"/>
    </row>
    <row r="153" spans="5:11" x14ac:dyDescent="0.2">
      <c r="E153" s="56"/>
      <c r="F153" s="56"/>
      <c r="G153" s="56"/>
      <c r="H153" s="56"/>
      <c r="I153" s="56"/>
      <c r="J153" s="56"/>
      <c r="K153" s="56"/>
    </row>
    <row r="154" spans="5:11" x14ac:dyDescent="0.2">
      <c r="E154" s="56"/>
      <c r="F154" s="56"/>
      <c r="G154" s="56"/>
      <c r="H154" s="56"/>
      <c r="I154" s="56"/>
      <c r="J154" s="56"/>
      <c r="K154" s="56"/>
    </row>
    <row r="155" spans="5:11" x14ac:dyDescent="0.2">
      <c r="E155" s="56"/>
      <c r="F155" s="56"/>
      <c r="G155" s="56"/>
      <c r="H155" s="56"/>
      <c r="I155" s="56"/>
      <c r="J155" s="56"/>
      <c r="K155" s="56"/>
    </row>
    <row r="156" spans="5:11" x14ac:dyDescent="0.2">
      <c r="E156" s="56"/>
      <c r="F156" s="56"/>
      <c r="G156" s="56"/>
      <c r="H156" s="56"/>
      <c r="I156" s="56"/>
      <c r="J156" s="56"/>
      <c r="K156" s="56"/>
    </row>
    <row r="157" spans="5:11" x14ac:dyDescent="0.2">
      <c r="E157" s="56"/>
      <c r="F157" s="56"/>
      <c r="G157" s="56"/>
      <c r="H157" s="56"/>
      <c r="I157" s="56"/>
      <c r="J157" s="56"/>
      <c r="K157" s="56"/>
    </row>
    <row r="158" spans="5:11" x14ac:dyDescent="0.2">
      <c r="E158" s="56"/>
      <c r="F158" s="56"/>
      <c r="G158" s="56"/>
      <c r="H158" s="56"/>
      <c r="I158" s="56"/>
      <c r="J158" s="56"/>
      <c r="K158" s="56"/>
    </row>
    <row r="159" spans="5:11" x14ac:dyDescent="0.2">
      <c r="E159" s="56"/>
      <c r="F159" s="56"/>
      <c r="G159" s="56"/>
      <c r="H159" s="56"/>
      <c r="I159" s="56"/>
      <c r="J159" s="56"/>
      <c r="K159" s="56"/>
    </row>
    <row r="160" spans="5:11" x14ac:dyDescent="0.2">
      <c r="E160" s="56"/>
      <c r="F160" s="56"/>
      <c r="G160" s="56"/>
      <c r="H160" s="56"/>
      <c r="I160" s="56"/>
      <c r="J160" s="56"/>
      <c r="K160" s="56"/>
    </row>
    <row r="161" spans="5:11" x14ac:dyDescent="0.2">
      <c r="E161" s="56"/>
      <c r="F161" s="56"/>
      <c r="G161" s="56"/>
      <c r="H161" s="56"/>
      <c r="I161" s="56"/>
      <c r="J161" s="56"/>
      <c r="K161" s="56"/>
    </row>
    <row r="162" spans="5:11" x14ac:dyDescent="0.2">
      <c r="E162" s="56"/>
      <c r="F162" s="56"/>
      <c r="G162" s="56"/>
      <c r="H162" s="56"/>
      <c r="I162" s="56"/>
      <c r="J162" s="56"/>
      <c r="K162" s="56"/>
    </row>
    <row r="163" spans="5:11" x14ac:dyDescent="0.2">
      <c r="E163" s="56"/>
      <c r="F163" s="56"/>
      <c r="G163" s="56"/>
      <c r="H163" s="56"/>
      <c r="I163" s="56"/>
      <c r="J163" s="56"/>
      <c r="K163" s="56"/>
    </row>
    <row r="164" spans="5:11" x14ac:dyDescent="0.2">
      <c r="E164" s="56"/>
      <c r="F164" s="56"/>
      <c r="G164" s="56"/>
      <c r="H164" s="56"/>
      <c r="I164" s="56"/>
      <c r="J164" s="56"/>
      <c r="K164" s="56"/>
    </row>
    <row r="165" spans="5:11" x14ac:dyDescent="0.2">
      <c r="E165" s="56"/>
      <c r="F165" s="56"/>
      <c r="G165" s="56"/>
      <c r="H165" s="56"/>
      <c r="I165" s="56"/>
      <c r="J165" s="56"/>
      <c r="K165" s="56"/>
    </row>
    <row r="166" spans="5:11" x14ac:dyDescent="0.2">
      <c r="E166" s="56"/>
      <c r="F166" s="56"/>
      <c r="G166" s="56"/>
      <c r="H166" s="56"/>
      <c r="I166" s="56"/>
      <c r="J166" s="56"/>
      <c r="K166" s="56"/>
    </row>
    <row r="167" spans="5:11" x14ac:dyDescent="0.2">
      <c r="E167" s="56"/>
      <c r="F167" s="56"/>
      <c r="G167" s="56"/>
      <c r="H167" s="56"/>
      <c r="I167" s="56"/>
      <c r="J167" s="56"/>
      <c r="K167" s="56"/>
    </row>
    <row r="168" spans="5:11" x14ac:dyDescent="0.2">
      <c r="E168" s="56"/>
      <c r="F168" s="56"/>
      <c r="G168" s="56"/>
      <c r="H168" s="56"/>
      <c r="I168" s="56"/>
      <c r="J168" s="56"/>
      <c r="K168" s="56"/>
    </row>
    <row r="169" spans="5:11" x14ac:dyDescent="0.2">
      <c r="E169" s="56"/>
      <c r="F169" s="56"/>
      <c r="G169" s="56"/>
      <c r="H169" s="56"/>
      <c r="I169" s="56"/>
      <c r="J169" s="56"/>
      <c r="K169" s="56"/>
    </row>
    <row r="170" spans="5:11" x14ac:dyDescent="0.2">
      <c r="E170" s="56"/>
      <c r="F170" s="56"/>
      <c r="G170" s="56"/>
      <c r="H170" s="56"/>
      <c r="I170" s="56"/>
      <c r="J170" s="56"/>
      <c r="K170" s="56"/>
    </row>
    <row r="171" spans="5:11" x14ac:dyDescent="0.2">
      <c r="E171" s="56"/>
      <c r="F171" s="56"/>
      <c r="G171" s="56"/>
      <c r="H171" s="56"/>
      <c r="I171" s="56"/>
      <c r="J171" s="56"/>
      <c r="K171" s="56"/>
    </row>
    <row r="172" spans="5:11" x14ac:dyDescent="0.2">
      <c r="E172" s="56"/>
      <c r="F172" s="56"/>
      <c r="G172" s="56"/>
      <c r="H172" s="56"/>
      <c r="I172" s="56"/>
      <c r="J172" s="56"/>
      <c r="K172" s="56"/>
    </row>
    <row r="173" spans="5:11" x14ac:dyDescent="0.2">
      <c r="E173" s="56"/>
      <c r="F173" s="56"/>
      <c r="G173" s="56"/>
      <c r="H173" s="56"/>
      <c r="I173" s="56"/>
      <c r="J173" s="56"/>
      <c r="K173" s="56"/>
    </row>
    <row r="174" spans="5:11" x14ac:dyDescent="0.2">
      <c r="E174" s="56"/>
      <c r="F174" s="56"/>
      <c r="G174" s="56"/>
      <c r="H174" s="56"/>
      <c r="I174" s="56"/>
      <c r="J174" s="56"/>
      <c r="K174" s="56"/>
    </row>
    <row r="175" spans="5:11" x14ac:dyDescent="0.2">
      <c r="E175" s="56"/>
      <c r="F175" s="56"/>
      <c r="G175" s="56"/>
      <c r="H175" s="56"/>
      <c r="I175" s="56"/>
      <c r="J175" s="56"/>
      <c r="K175" s="56"/>
    </row>
    <row r="176" spans="5:11" x14ac:dyDescent="0.2">
      <c r="E176" s="56"/>
      <c r="F176" s="56"/>
      <c r="G176" s="56"/>
      <c r="H176" s="56"/>
      <c r="I176" s="56"/>
      <c r="J176" s="56"/>
      <c r="K176" s="56"/>
    </row>
    <row r="177" spans="5:11" x14ac:dyDescent="0.2">
      <c r="E177" s="56"/>
      <c r="F177" s="56"/>
      <c r="G177" s="56"/>
      <c r="H177" s="56"/>
      <c r="I177" s="56"/>
      <c r="J177" s="56"/>
      <c r="K177" s="56"/>
    </row>
    <row r="178" spans="5:11" x14ac:dyDescent="0.2">
      <c r="E178" s="56"/>
      <c r="F178" s="56"/>
      <c r="G178" s="56"/>
      <c r="H178" s="56"/>
      <c r="I178" s="56"/>
      <c r="J178" s="56"/>
      <c r="K178" s="56"/>
    </row>
    <row r="179" spans="5:11" x14ac:dyDescent="0.2">
      <c r="E179" s="56"/>
      <c r="F179" s="56"/>
      <c r="G179" s="56"/>
      <c r="H179" s="56"/>
      <c r="I179" s="56"/>
      <c r="J179" s="56"/>
      <c r="K179" s="56"/>
    </row>
    <row r="180" spans="5:11" x14ac:dyDescent="0.2">
      <c r="E180" s="56"/>
      <c r="F180" s="56"/>
      <c r="G180" s="56"/>
      <c r="H180" s="56"/>
      <c r="I180" s="56"/>
      <c r="J180" s="56"/>
      <c r="K180" s="56"/>
    </row>
    <row r="181" spans="5:11" x14ac:dyDescent="0.2">
      <c r="E181" s="56"/>
      <c r="F181" s="56"/>
      <c r="G181" s="56"/>
      <c r="H181" s="56"/>
      <c r="I181" s="56"/>
      <c r="J181" s="56"/>
      <c r="K181" s="56"/>
    </row>
    <row r="182" spans="5:11" x14ac:dyDescent="0.2">
      <c r="E182" s="56"/>
      <c r="F182" s="56"/>
      <c r="G182" s="56"/>
      <c r="H182" s="56"/>
      <c r="I182" s="56"/>
      <c r="J182" s="56"/>
      <c r="K182" s="56"/>
    </row>
    <row r="183" spans="5:11" x14ac:dyDescent="0.2">
      <c r="E183" s="56"/>
      <c r="F183" s="56"/>
      <c r="G183" s="56"/>
      <c r="H183" s="56"/>
      <c r="I183" s="56"/>
      <c r="J183" s="56"/>
      <c r="K183" s="56"/>
    </row>
    <row r="184" spans="5:11" x14ac:dyDescent="0.2">
      <c r="E184" s="56"/>
      <c r="F184" s="56"/>
      <c r="G184" s="56"/>
      <c r="H184" s="56"/>
      <c r="I184" s="56"/>
      <c r="J184" s="56"/>
      <c r="K184" s="56"/>
    </row>
    <row r="185" spans="5:11" x14ac:dyDescent="0.2">
      <c r="E185" s="56"/>
      <c r="F185" s="56"/>
      <c r="G185" s="56"/>
      <c r="H185" s="56"/>
      <c r="I185" s="56"/>
      <c r="J185" s="56"/>
      <c r="K185" s="56"/>
    </row>
  </sheetData>
  <sheetProtection password="CF33" sheet="1" objects="1" scenarios="1" formatColumns="0" formatRows="0"/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3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5.7109375" style="114" bestFit="1" customWidth="1"/>
    <col min="2" max="2" width="6.42578125" style="114" bestFit="1" customWidth="1"/>
    <col min="3" max="3" width="20.7109375" style="114" customWidth="1"/>
    <col min="4" max="4" width="6" style="114" bestFit="1" customWidth="1"/>
    <col min="5" max="5" width="20.7109375" style="114" customWidth="1"/>
    <col min="6" max="6" width="10.7109375" style="114" customWidth="1"/>
    <col min="7" max="7" width="2.7109375" style="113" customWidth="1"/>
    <col min="8" max="8" width="7" style="114" bestFit="1" customWidth="1"/>
    <col min="9" max="9" width="8.28515625" style="114" bestFit="1" customWidth="1"/>
    <col min="10" max="10" width="2.7109375" style="113" customWidth="1"/>
    <col min="11" max="11" width="8.42578125" style="113" bestFit="1" customWidth="1"/>
    <col min="12" max="12" width="15.7109375" style="113" customWidth="1"/>
    <col min="13" max="16384" width="9.140625" style="113"/>
  </cols>
  <sheetData>
    <row r="1" spans="1:12" ht="12.75" customHeight="1" x14ac:dyDescent="0.2">
      <c r="A1" s="115" t="s">
        <v>59</v>
      </c>
      <c r="B1" s="386" t="s">
        <v>60</v>
      </c>
      <c r="C1" s="386"/>
      <c r="D1" s="386" t="s">
        <v>61</v>
      </c>
      <c r="E1" s="386"/>
      <c r="F1" s="115" t="s">
        <v>62</v>
      </c>
      <c r="H1" s="115" t="s">
        <v>101</v>
      </c>
      <c r="I1" s="115" t="s">
        <v>102</v>
      </c>
      <c r="K1" s="384" t="s">
        <v>63</v>
      </c>
      <c r="L1" s="385"/>
    </row>
    <row r="2" spans="1:12" x14ac:dyDescent="0.2">
      <c r="A2" s="338">
        <v>32</v>
      </c>
      <c r="B2" s="339">
        <f>IF(OR(MD!$M$5 =1,MD!$M$5 =2), IF(MD!$M$5 =1,MD!$I$5,MD!$I$6),"#")</f>
        <v>31617</v>
      </c>
      <c r="C2" s="357" t="str">
        <f>TRIM(LEFT(VLOOKUP(B2,DrawPrep!$C$3:$D$34,2,FALSE),FIND(" ",VLOOKUP(B2,DrawPrep!$C$3:$D$34,2,FALSE),1)-1))</f>
        <v>ΜΑΤΣΑΜΑΚΗΣ</v>
      </c>
      <c r="D2" s="339">
        <f>IF(OR(MD!$M$5 =1,MD!$M$5 =2), IF(MD!$M$5 =2,MD!$I$5,MD!$I$6),"#")</f>
        <v>0</v>
      </c>
      <c r="E2" s="357" t="e">
        <f>TRIM(LEFT(VLOOKUP(D2,DrawPrep!$C$3:$D$34,2,FALSE),FIND(" ",VLOOKUP(D2,DrawPrep!$C$3:$D$34,2,FALSE),1)-1))</f>
        <v>#N/A</v>
      </c>
      <c r="F2" s="340">
        <f>MD!O6</f>
        <v>0</v>
      </c>
      <c r="H2" s="133">
        <f>B32</f>
        <v>31617</v>
      </c>
      <c r="I2" s="134" t="s">
        <v>95</v>
      </c>
      <c r="K2" s="143" t="s">
        <v>92</v>
      </c>
      <c r="L2" s="88" t="str">
        <f>Setup!$B$4</f>
        <v>3ο Ε3 2016</v>
      </c>
    </row>
    <row r="3" spans="1:12" x14ac:dyDescent="0.2">
      <c r="A3" s="338">
        <v>32</v>
      </c>
      <c r="B3" s="339">
        <f>IF(OR(MD!$M$7 =1,MD!$M$7 =2), IF(MD!$M$7 =1,MD!$I$7,MD!$I$8),"#")</f>
        <v>33295</v>
      </c>
      <c r="C3" s="357" t="str">
        <f>TRIM(LEFT(VLOOKUP(B3,DrawPrep!$C$3:$D$34,2,FALSE),FIND(" ",VLOOKUP(B3,DrawPrep!$C$3:$D$34,2,FALSE),1)-1))</f>
        <v>ΒΟΛΤΥΡΑΚΗΣ</v>
      </c>
      <c r="D3" s="339">
        <f>IF(OR(MD!$M$7 =1,MD!$M$7 =2), IF(MD!$M$7 =2,MD!$I$7,MD!$I$8),"#")</f>
        <v>37805</v>
      </c>
      <c r="E3" s="357" t="str">
        <f>TRIM(LEFT(VLOOKUP(D3,DrawPrep!$C$3:$D$34,2,FALSE),FIND(" ",VLOOKUP(D3,DrawPrep!$C$3:$D$34,2,FALSE),1)-1))</f>
        <v>ΚΩΣΤΑΚΗΣ</v>
      </c>
      <c r="F3" s="340" t="str">
        <f>MD!O8</f>
        <v>54(4) 42</v>
      </c>
      <c r="H3" s="141">
        <f>D32</f>
        <v>36263</v>
      </c>
      <c r="I3" s="142" t="s">
        <v>96</v>
      </c>
      <c r="K3" s="143" t="s">
        <v>90</v>
      </c>
      <c r="L3" s="88" t="str">
        <f>Setup!$B$5</f>
        <v>e3</v>
      </c>
    </row>
    <row r="4" spans="1:12" x14ac:dyDescent="0.2">
      <c r="A4" s="338">
        <v>32</v>
      </c>
      <c r="B4" s="339">
        <f>IF(OR(MD!$M$9 =1,MD!$M$9 =2), IF(MD!$M$9 =1,MD!$I$9,MD!$I$10),"#")</f>
        <v>36550</v>
      </c>
      <c r="C4" s="357" t="str">
        <f>TRIM(LEFT(VLOOKUP(B4,DrawPrep!$C$3:$D$34,2,FALSE),FIND(" ",VLOOKUP(B4,DrawPrep!$C$3:$D$34,2,FALSE),1)-1))</f>
        <v>ΠΕΡΔΙΚΑΚΗΣ</v>
      </c>
      <c r="D4" s="339">
        <f>IF(OR(MD!$M$9 =1,MD!$M$9 =2), IF(MD!$M$9 =2,MD!$I$9,MD!$I$10),"#")</f>
        <v>37561</v>
      </c>
      <c r="E4" s="357" t="str">
        <f>TRIM(LEFT(VLOOKUP(D4,DrawPrep!$C$3:$D$34,2,FALSE),FIND(" ",VLOOKUP(D4,DrawPrep!$C$3:$D$34,2,FALSE),1)-1))</f>
        <v>ΦΟΥΝΤΟΥΛΑΚΗΣ</v>
      </c>
      <c r="F4" s="340" t="str">
        <f>MD!O10</f>
        <v>40 30 ret</v>
      </c>
      <c r="H4" s="135">
        <f>D30</f>
        <v>36456</v>
      </c>
      <c r="I4" s="136" t="s">
        <v>97</v>
      </c>
      <c r="K4" s="143" t="s">
        <v>91</v>
      </c>
      <c r="L4" s="88">
        <f>Setup!$B$6</f>
        <v>12</v>
      </c>
    </row>
    <row r="5" spans="1:12" x14ac:dyDescent="0.2">
      <c r="A5" s="338">
        <v>32</v>
      </c>
      <c r="B5" s="339">
        <f>IF(OR(MD!$M$11=1,MD!$M$11=2), IF(MD!$M$11=1,MD!$I$11,MD!$I$12),"#")</f>
        <v>32350</v>
      </c>
      <c r="C5" s="357" t="str">
        <f>TRIM(LEFT(VLOOKUP(B5,DrawPrep!$C$3:$D$34,2,FALSE),FIND(" ",VLOOKUP(B5,DrawPrep!$C$3:$D$34,2,FALSE),1)-1))</f>
        <v>ΠΕΤΡΑΚΗΣ</v>
      </c>
      <c r="D5" s="339">
        <f>IF(OR(MD!$M$11=1,MD!$M$11=2), IF(MD!$M$11=2,MD!$I$11,MD!$I$12),"#")</f>
        <v>0</v>
      </c>
      <c r="E5" s="357" t="e">
        <f>TRIM(LEFT(VLOOKUP(D5,DrawPrep!$C$3:$D$34,2,FALSE),FIND(" ",VLOOKUP(D5,DrawPrep!$C$3:$D$34,2,FALSE),1)-1))</f>
        <v>#N/A</v>
      </c>
      <c r="F5" s="340">
        <f>MD!O12</f>
        <v>0</v>
      </c>
      <c r="H5" s="135">
        <f>D31</f>
        <v>33396</v>
      </c>
      <c r="I5" s="136" t="s">
        <v>97</v>
      </c>
      <c r="K5" s="143" t="s">
        <v>93</v>
      </c>
      <c r="L5" s="88" t="str">
        <f>Setup!$B$8</f>
        <v>Α12</v>
      </c>
    </row>
    <row r="6" spans="1:12" x14ac:dyDescent="0.2">
      <c r="A6" s="338">
        <v>32</v>
      </c>
      <c r="B6" s="339">
        <f>IF(OR(MD!$M$13=1,MD!$M$13=2), IF(MD!$M$13=1,MD!$I$13,MD!$I$14),"#")</f>
        <v>36456</v>
      </c>
      <c r="C6" s="357" t="str">
        <f>TRIM(LEFT(VLOOKUP(B6,DrawPrep!$C$3:$D$34,2,FALSE),FIND(" ",VLOOKUP(B6,DrawPrep!$C$3:$D$34,2,FALSE),1)-1))</f>
        <v>ΓΕΝΝΑΡΑΚΗΣ</v>
      </c>
      <c r="D6" s="339">
        <f>IF(OR(MD!$M$13=1,MD!$M$13=2), IF(MD!$M$13=2,MD!$I$13,MD!$I$14),"#")</f>
        <v>0</v>
      </c>
      <c r="E6" s="357" t="e">
        <f>TRIM(LEFT(VLOOKUP(D6,DrawPrep!$C$3:$D$34,2,FALSE),FIND(" ",VLOOKUP(D6,DrawPrep!$C$3:$D$34,2,FALSE),1)-1))</f>
        <v>#N/A</v>
      </c>
      <c r="F6" s="340">
        <f>MD!O14</f>
        <v>0</v>
      </c>
      <c r="H6" s="137">
        <f>D26</f>
        <v>32350</v>
      </c>
      <c r="I6" s="138" t="s">
        <v>98</v>
      </c>
      <c r="K6" s="143" t="s">
        <v>94</v>
      </c>
      <c r="L6" s="88" t="str">
        <f>Setup!$B$9&amp;"-"&amp;Setup!$B$10</f>
        <v xml:space="preserve">22-23 Οκτωβρίου </v>
      </c>
    </row>
    <row r="7" spans="1:12" x14ac:dyDescent="0.2">
      <c r="A7" s="338">
        <v>32</v>
      </c>
      <c r="B7" s="339">
        <f>IF(OR(MD!$M$15=1,MD!$M$15=2), IF(MD!$M$15=1,MD!$I$15,MD!$I$16),"#")</f>
        <v>38042</v>
      </c>
      <c r="C7" s="357" t="str">
        <f>TRIM(LEFT(VLOOKUP(B7,DrawPrep!$C$3:$D$34,2,FALSE),FIND(" ",VLOOKUP(B7,DrawPrep!$C$3:$D$34,2,FALSE),1)-1))</f>
        <v>ΜΠΟΥΝΑΚΗΣ</v>
      </c>
      <c r="D7" s="339">
        <f>IF(OR(MD!$M$15=1,MD!$M$15=2), IF(MD!$M$15=2,MD!$I$15,MD!$I$16),"#")</f>
        <v>37803</v>
      </c>
      <c r="E7" s="357" t="str">
        <f>TRIM(LEFT(VLOOKUP(D7,DrawPrep!$C$3:$D$34,2,FALSE),FIND(" ",VLOOKUP(D7,DrawPrep!$C$3:$D$34,2,FALSE),1)-1))</f>
        <v>ΚΑΛΑΤΖΗΣ</v>
      </c>
      <c r="F7" s="340" t="str">
        <f>MD!O16</f>
        <v>53 54(4)</v>
      </c>
      <c r="H7" s="137">
        <f>D27</f>
        <v>37665</v>
      </c>
      <c r="I7" s="138" t="s">
        <v>98</v>
      </c>
      <c r="K7" s="144" t="s">
        <v>137</v>
      </c>
      <c r="L7" s="87" t="str">
        <f>Setup!$B$3</f>
        <v>Ζ΄ ΕΝΩΣΗ</v>
      </c>
    </row>
    <row r="8" spans="1:12" x14ac:dyDescent="0.2">
      <c r="A8" s="338">
        <v>32</v>
      </c>
      <c r="B8" s="339">
        <f>IF(OR(MD!$M$17=1,MD!$M$17=2), IF(MD!$M$17=1,MD!$I$17,MD!$I$18),"#")</f>
        <v>37801</v>
      </c>
      <c r="C8" s="357" t="str">
        <f>TRIM(LEFT(VLOOKUP(B8,DrawPrep!$C$3:$D$34,2,FALSE),FIND(" ",VLOOKUP(B8,DrawPrep!$C$3:$D$34,2,FALSE),1)-1))</f>
        <v>ΚΑΡΑΚΩΣΤΑΣ</v>
      </c>
      <c r="D8" s="339">
        <f>IF(OR(MD!$M$17=1,MD!$M$17=2), IF(MD!$M$17=2,MD!$I$17,MD!$I$18),"#")</f>
        <v>37800</v>
      </c>
      <c r="E8" s="357" t="str">
        <f>TRIM(LEFT(VLOOKUP(D8,DrawPrep!$C$3:$D$34,2,FALSE),FIND(" ",VLOOKUP(D8,DrawPrep!$C$3:$D$34,2,FALSE),1)-1))</f>
        <v>ΒΕΛΕΝΤΑΚΗΣ</v>
      </c>
      <c r="F8" s="340" t="str">
        <f>MD!O18</f>
        <v>40 40</v>
      </c>
      <c r="H8" s="137">
        <f>D28</f>
        <v>37562</v>
      </c>
      <c r="I8" s="138" t="s">
        <v>98</v>
      </c>
    </row>
    <row r="9" spans="1:12" x14ac:dyDescent="0.2">
      <c r="A9" s="338">
        <v>32</v>
      </c>
      <c r="B9" s="339">
        <f>IF(OR(MD!$M$19=1,MD!$M$19=2), IF(MD!$M$19=1,MD!$I$19,MD!$I$20),"#")</f>
        <v>37665</v>
      </c>
      <c r="C9" s="357" t="str">
        <f>TRIM(LEFT(VLOOKUP(B9,DrawPrep!$C$3:$D$34,2,FALSE),FIND(" ",VLOOKUP(B9,DrawPrep!$C$3:$D$34,2,FALSE),1)-1))</f>
        <v>ΚΟΚΚΙΝΑΚΗΣ</v>
      </c>
      <c r="D9" s="339">
        <f>IF(OR(MD!$M$19=1,MD!$M$19=2), IF(MD!$M$19=2,MD!$I$19,MD!$I$20),"#")</f>
        <v>37990</v>
      </c>
      <c r="E9" s="357" t="str">
        <f>TRIM(LEFT(VLOOKUP(D9,DrawPrep!$C$3:$D$34,2,FALSE),FIND(" ",VLOOKUP(D9,DrawPrep!$C$3:$D$34,2,FALSE),1)-1))</f>
        <v>ΝΙΝΟΣ</v>
      </c>
      <c r="F9" s="340">
        <f>MD!O20</f>
        <v>4040</v>
      </c>
      <c r="H9" s="137">
        <f>D29</f>
        <v>35629</v>
      </c>
      <c r="I9" s="138" t="s">
        <v>98</v>
      </c>
    </row>
    <row r="10" spans="1:12" x14ac:dyDescent="0.2">
      <c r="A10" s="338">
        <v>32</v>
      </c>
      <c r="B10" s="339">
        <f>IF(OR(MD!$M$21=1,MD!$M$21=2), IF(MD!$M$21=1,MD!$I$21,MD!$I$22),"#")</f>
        <v>37032</v>
      </c>
      <c r="C10" s="357" t="str">
        <f>TRIM(LEFT(VLOOKUP(B10,DrawPrep!$C$3:$D$34,2,FALSE),FIND(" ",VLOOKUP(B10,DrawPrep!$C$3:$D$34,2,FALSE),1)-1))</f>
        <v>ΧΑΛΑΚΑΤΕΒΑΚΗΣ</v>
      </c>
      <c r="D10" s="339">
        <f>IF(OR(MD!$M$21=1,MD!$M$21=2), IF(MD!$M$21=2,MD!$I$21,MD!$I$22),"#")</f>
        <v>0</v>
      </c>
      <c r="E10" s="357" t="e">
        <f>TRIM(LEFT(VLOOKUP(D10,DrawPrep!$C$3:$D$34,2,FALSE),FIND(" ",VLOOKUP(D10,DrawPrep!$C$3:$D$34,2,FALSE),1)-1))</f>
        <v>#N/A</v>
      </c>
      <c r="F10" s="340">
        <f>MD!O22</f>
        <v>0</v>
      </c>
      <c r="H10" s="191">
        <f>D18</f>
        <v>33295</v>
      </c>
      <c r="I10" s="192" t="s">
        <v>99</v>
      </c>
    </row>
    <row r="11" spans="1:12" x14ac:dyDescent="0.2">
      <c r="A11" s="338">
        <v>32</v>
      </c>
      <c r="B11" s="339">
        <f>IF(OR(MD!$M$23=1,MD!$M$23=2), IF(MD!$M$23=1,MD!$I$23,MD!$I$24),"#")</f>
        <v>37562</v>
      </c>
      <c r="C11" s="357" t="str">
        <f>TRIM(LEFT(VLOOKUP(B11,DrawPrep!$C$3:$D$34,2,FALSE),FIND(" ",VLOOKUP(B11,DrawPrep!$C$3:$D$34,2,FALSE),1)-1))</f>
        <v>ΣΤΡΟΜΠΑ</v>
      </c>
      <c r="D11" s="339">
        <f>IF(OR(MD!$M$23=1,MD!$M$23=2), IF(MD!$M$23=2,MD!$I$23,MD!$I$24),"#")</f>
        <v>33835</v>
      </c>
      <c r="E11" s="357" t="str">
        <f>TRIM(LEFT(VLOOKUP(D11,DrawPrep!$C$3:$D$34,2,FALSE),FIND(" ",VLOOKUP(D11,DrawPrep!$C$3:$D$34,2,FALSE),1)-1))</f>
        <v>ΒΕΓΟΠΟΥΛΟΣ</v>
      </c>
      <c r="F11" s="340" t="str">
        <f>MD!O24</f>
        <v>40 42</v>
      </c>
      <c r="H11" s="191">
        <f t="shared" ref="H11:H17" si="0">D19</f>
        <v>36550</v>
      </c>
      <c r="I11" s="192" t="s">
        <v>99</v>
      </c>
    </row>
    <row r="12" spans="1:12" x14ac:dyDescent="0.2">
      <c r="A12" s="338">
        <v>32</v>
      </c>
      <c r="B12" s="339">
        <f>IF(OR(MD!$M$25=1,MD!$M$25=2), IF(MD!$M$25=1,MD!$I$25,MD!$I$26),"#")</f>
        <v>37669</v>
      </c>
      <c r="C12" s="357" t="str">
        <f>TRIM(LEFT(VLOOKUP(B12,DrawPrep!$C$3:$D$34,2,FALSE),FIND(" ",VLOOKUP(B12,DrawPrep!$C$3:$D$34,2,FALSE),1)-1))</f>
        <v>ΜΑΡΑΚΗΣ</v>
      </c>
      <c r="D12" s="339">
        <f>IF(OR(MD!$M$25=1,MD!$M$25=2), IF(MD!$M$25=2,MD!$I$25,MD!$I$26),"#")</f>
        <v>37471</v>
      </c>
      <c r="E12" s="357" t="str">
        <f>TRIM(LEFT(VLOOKUP(D12,DrawPrep!$C$3:$D$34,2,FALSE),FIND(" ",VLOOKUP(D12,DrawPrep!$C$3:$D$34,2,FALSE),1)-1))</f>
        <v>ΞΙΑΡΧΟΣ</v>
      </c>
      <c r="F12" s="340" t="str">
        <f>MD!O26</f>
        <v>40 54(0)</v>
      </c>
      <c r="H12" s="191">
        <f t="shared" si="0"/>
        <v>38042</v>
      </c>
      <c r="I12" s="192" t="s">
        <v>99</v>
      </c>
    </row>
    <row r="13" spans="1:12" x14ac:dyDescent="0.2">
      <c r="A13" s="338">
        <v>32</v>
      </c>
      <c r="B13" s="339">
        <f>IF(OR(MD!$M$27=1,MD!$M$27=2), IF(MD!$M$27=1,MD!$I$27,MD!$I$28),"#")</f>
        <v>33396</v>
      </c>
      <c r="C13" s="357" t="str">
        <f>TRIM(LEFT(VLOOKUP(B13,DrawPrep!$C$3:$D$34,2,FALSE),FIND(" ",VLOOKUP(B13,DrawPrep!$C$3:$D$34,2,FALSE),1)-1))</f>
        <v>ΖΕΡΒΟΣ</v>
      </c>
      <c r="D13" s="339">
        <f>IF(OR(MD!$M$27=1,MD!$M$27=2), IF(MD!$M$27=2,MD!$I$27,MD!$I$28),"#")</f>
        <v>0</v>
      </c>
      <c r="E13" s="357" t="e">
        <f>TRIM(LEFT(VLOOKUP(D13,DrawPrep!$C$3:$D$34,2,FALSE),FIND(" ",VLOOKUP(D13,DrawPrep!$C$3:$D$34,2,FALSE),1)-1))</f>
        <v>#N/A</v>
      </c>
      <c r="F13" s="340">
        <f>MD!O28</f>
        <v>0</v>
      </c>
      <c r="H13" s="191">
        <f t="shared" si="0"/>
        <v>37801</v>
      </c>
      <c r="I13" s="192" t="s">
        <v>99</v>
      </c>
    </row>
    <row r="14" spans="1:12" x14ac:dyDescent="0.2">
      <c r="A14" s="338">
        <v>32</v>
      </c>
      <c r="B14" s="339">
        <f>IF(OR(MD!$M$29=1,MD!$M$29=2), IF(MD!$M$29=1,MD!$I$29,MD!$I$30),"#")</f>
        <v>35629</v>
      </c>
      <c r="C14" s="357" t="str">
        <f>TRIM(LEFT(VLOOKUP(B14,DrawPrep!$C$3:$D$34,2,FALSE),FIND(" ",VLOOKUP(B14,DrawPrep!$C$3:$D$34,2,FALSE),1)-1))</f>
        <v>ΣΠΥΡΟΠΟΥΛΟΣ</v>
      </c>
      <c r="D14" s="339">
        <f>IF(OR(MD!$M$29=1,MD!$M$29=2), IF(MD!$M$29=2,MD!$I$29,MD!$I$30),"#")</f>
        <v>38017</v>
      </c>
      <c r="E14" s="357" t="str">
        <f>TRIM(LEFT(VLOOKUP(D14,DrawPrep!$C$3:$D$34,2,FALSE),FIND(" ",VLOOKUP(D14,DrawPrep!$C$3:$D$34,2,FALSE),1)-1))</f>
        <v>ΝΕΚΤΑΡΙΟΣ</v>
      </c>
      <c r="F14" s="340" t="str">
        <f>MD!O30</f>
        <v>40 40</v>
      </c>
      <c r="H14" s="191">
        <f t="shared" si="0"/>
        <v>37032</v>
      </c>
      <c r="I14" s="192" t="s">
        <v>99</v>
      </c>
    </row>
    <row r="15" spans="1:12" x14ac:dyDescent="0.2">
      <c r="A15" s="338">
        <v>32</v>
      </c>
      <c r="B15" s="339">
        <f>IF(OR(MD!$M$31=1,MD!$M$31=2), IF(MD!$M$31=1,MD!$I$31,MD!$I$32),"#")</f>
        <v>38697</v>
      </c>
      <c r="C15" s="357" t="str">
        <f>TRIM(LEFT(VLOOKUP(B15,DrawPrep!$C$3:$D$34,2,FALSE),FIND(" ",VLOOKUP(B15,DrawPrep!$C$3:$D$34,2,FALSE),1)-1))</f>
        <v>ΤΑΒΕΡΝΑΡΑΚΗΣ</v>
      </c>
      <c r="D15" s="339">
        <f>IF(OR(MD!$M$31=1,MD!$M$31=2), IF(MD!$M$31=2,MD!$I$31,MD!$I$32),"#")</f>
        <v>33985</v>
      </c>
      <c r="E15" s="357" t="str">
        <f>TRIM(LEFT(VLOOKUP(D15,DrawPrep!$C$3:$D$34,2,FALSE),FIND(" ",VLOOKUP(D15,DrawPrep!$C$3:$D$34,2,FALSE),1)-1))</f>
        <v>ΤΣΙΤΟΥΝΗΣ</v>
      </c>
      <c r="F15" s="340" t="str">
        <f>MD!O32</f>
        <v>53 42</v>
      </c>
      <c r="H15" s="191">
        <f t="shared" si="0"/>
        <v>37669</v>
      </c>
      <c r="I15" s="192" t="s">
        <v>99</v>
      </c>
    </row>
    <row r="16" spans="1:12" x14ac:dyDescent="0.2">
      <c r="A16" s="338">
        <v>32</v>
      </c>
      <c r="B16" s="339">
        <f>IF(OR(MD!$M$33=1,MD!$M$33=2), IF(MD!$M$33=1,MD!$I$33,MD!$I$34),"#")</f>
        <v>37664</v>
      </c>
      <c r="C16" s="357" t="str">
        <f>TRIM(LEFT(VLOOKUP(B16,DrawPrep!$C$3:$D$34,2,FALSE),FIND(" ",VLOOKUP(B16,DrawPrep!$C$3:$D$34,2,FALSE),1)-1))</f>
        <v>ΚΑΫΜΕΝΑΚΗΣ</v>
      </c>
      <c r="D16" s="339">
        <f>IF(OR(MD!$M$33=1,MD!$M$33=2), IF(MD!$M$33=2,MD!$I$33,MD!$I$34),"#")</f>
        <v>36616</v>
      </c>
      <c r="E16" s="357" t="str">
        <f>TRIM(LEFT(VLOOKUP(D16,DrawPrep!$C$3:$D$34,2,FALSE),FIND(" ",VLOOKUP(D16,DrawPrep!$C$3:$D$34,2,FALSE),1)-1))</f>
        <v>ΚΟΚΚΑΛΗΣ</v>
      </c>
      <c r="F16" s="340" t="str">
        <f>MD!O34</f>
        <v>40 42</v>
      </c>
      <c r="H16" s="191">
        <f t="shared" si="0"/>
        <v>38697</v>
      </c>
      <c r="I16" s="192" t="s">
        <v>99</v>
      </c>
    </row>
    <row r="17" spans="1:9" x14ac:dyDescent="0.2">
      <c r="A17" s="338">
        <v>32</v>
      </c>
      <c r="B17" s="339">
        <f>IF(OR(MD!$M$35=1,MD!$M$35=2), IF(MD!$M$35=1,MD!$I$35,MD!$I$36),"#")</f>
        <v>36263</v>
      </c>
      <c r="C17" s="357" t="str">
        <f>TRIM(LEFT(VLOOKUP(B17,DrawPrep!$C$3:$D$34,2,FALSE),FIND(" ",VLOOKUP(B17,DrawPrep!$C$3:$D$34,2,FALSE),1)-1))</f>
        <v>ΜΑΝΔΑΛΕΝΑΚΗΣ</v>
      </c>
      <c r="D17" s="339">
        <f>IF(OR(MD!$M$35=1,MD!$M$35=2), IF(MD!$M$35=2,MD!$I$35,MD!$I$36),"#")</f>
        <v>0</v>
      </c>
      <c r="E17" s="357" t="e">
        <f>TRIM(LEFT(VLOOKUP(D17,DrawPrep!$C$3:$D$34,2,FALSE),FIND(" ",VLOOKUP(D17,DrawPrep!$C$3:$D$34,2,FALSE),1)-1))</f>
        <v>#N/A</v>
      </c>
      <c r="F17" s="340">
        <f>MD!O36</f>
        <v>0</v>
      </c>
      <c r="H17" s="191">
        <f t="shared" si="0"/>
        <v>37664</v>
      </c>
      <c r="I17" s="192" t="s">
        <v>99</v>
      </c>
    </row>
    <row r="18" spans="1:9" x14ac:dyDescent="0.2">
      <c r="A18" s="341">
        <v>16</v>
      </c>
      <c r="B18" s="342">
        <f>IF(OR(MD!$P$6 =1,MD!$P$6 =2), IF(MD!$P$6 =1,MD!$N$5,MD!$N$7),"#")</f>
        <v>31617</v>
      </c>
      <c r="C18" s="357" t="str">
        <f>TRIM(LEFT(VLOOKUP(B18,DrawPrep!$C$3:$D$34,2,FALSE),FIND(" ",VLOOKUP(B18,DrawPrep!$C$3:$D$34,2,FALSE),1)-1))</f>
        <v>ΜΑΤΣΑΜΑΚΗΣ</v>
      </c>
      <c r="D18" s="342">
        <f>IF(OR(MD!$P$6 =1,MD!$P$6 =2), IF(MD!$P$6 =2,MD!$N$5,MD!$N$7),"#")</f>
        <v>33295</v>
      </c>
      <c r="E18" s="357" t="str">
        <f>TRIM(LEFT(VLOOKUP(D18,DrawPrep!$C$3:$D$34,2,FALSE),FIND(" ",VLOOKUP(D18,DrawPrep!$C$3:$D$34,2,FALSE),1)-1))</f>
        <v>ΒΟΛΤΥΡΑΚΗΣ</v>
      </c>
      <c r="F18" s="343" t="str">
        <f>MD!R7</f>
        <v>40 40</v>
      </c>
      <c r="H18" s="139">
        <f>D2</f>
        <v>0</v>
      </c>
      <c r="I18" s="140" t="s">
        <v>100</v>
      </c>
    </row>
    <row r="19" spans="1:9" x14ac:dyDescent="0.2">
      <c r="A19" s="341">
        <v>16</v>
      </c>
      <c r="B19" s="342">
        <f>IF(OR(MD!$P$10=1,MD!$P$10=2), IF(MD!$P$10=1,MD!$N$9,MD!$N$11),"#")</f>
        <v>32350</v>
      </c>
      <c r="C19" s="357" t="str">
        <f>TRIM(LEFT(VLOOKUP(B19,DrawPrep!$C$3:$D$34,2,FALSE),FIND(" ",VLOOKUP(B19,DrawPrep!$C$3:$D$34,2,FALSE),1)-1))</f>
        <v>ΠΕΤΡΑΚΗΣ</v>
      </c>
      <c r="D19" s="342">
        <f>IF(OR(MD!$P$10=1,MD!$P$10=2), IF(MD!$P$10=2,MD!$N$9,MD!$N$11),"#")</f>
        <v>36550</v>
      </c>
      <c r="E19" s="357" t="str">
        <f>TRIM(LEFT(VLOOKUP(D19,DrawPrep!$C$3:$D$34,2,FALSE),FIND(" ",VLOOKUP(D19,DrawPrep!$C$3:$D$34,2,FALSE),1)-1))</f>
        <v>ΠΕΡΔΙΚΑΚΗΣ</v>
      </c>
      <c r="F19" s="343" t="str">
        <f>MD!R11</f>
        <v>42 41</v>
      </c>
      <c r="H19" s="139">
        <f t="shared" ref="H19:H32" si="1">D3</f>
        <v>37805</v>
      </c>
      <c r="I19" s="140" t="s">
        <v>100</v>
      </c>
    </row>
    <row r="20" spans="1:9" x14ac:dyDescent="0.2">
      <c r="A20" s="341">
        <v>16</v>
      </c>
      <c r="B20" s="342">
        <f>IF(OR(MD!$P$14=1,MD!$P$14=2), IF(MD!$P$14=1,MD!$N$13,MD!$N$15),"#")</f>
        <v>36456</v>
      </c>
      <c r="C20" s="357" t="str">
        <f>TRIM(LEFT(VLOOKUP(B20,DrawPrep!$C$3:$D$34,2,FALSE),FIND(" ",VLOOKUP(B20,DrawPrep!$C$3:$D$34,2,FALSE),1)-1))</f>
        <v>ΓΕΝΝΑΡΑΚΗΣ</v>
      </c>
      <c r="D20" s="342">
        <f>IF(OR(MD!$P$14=1,MD!$P$14=2), IF(MD!$P$14=2,MD!$N$13,MD!$N$15),"#")</f>
        <v>38042</v>
      </c>
      <c r="E20" s="357" t="str">
        <f>TRIM(LEFT(VLOOKUP(D20,DrawPrep!$C$3:$D$34,2,FALSE),FIND(" ",VLOOKUP(D20,DrawPrep!$C$3:$D$34,2,FALSE),1)-1))</f>
        <v>ΜΠΟΥΝΑΚΗΣ</v>
      </c>
      <c r="F20" s="343" t="str">
        <f>MD!R15</f>
        <v>42 40</v>
      </c>
      <c r="H20" s="139">
        <f t="shared" si="1"/>
        <v>37561</v>
      </c>
      <c r="I20" s="140" t="s">
        <v>100</v>
      </c>
    </row>
    <row r="21" spans="1:9" x14ac:dyDescent="0.2">
      <c r="A21" s="341">
        <v>16</v>
      </c>
      <c r="B21" s="342">
        <f>IF(OR(MD!$P$18=1,MD!$P$18=2), IF(MD!$P$18=1,MD!$N$17,MD!$N$19),"#")</f>
        <v>37665</v>
      </c>
      <c r="C21" s="357" t="str">
        <f>TRIM(LEFT(VLOOKUP(B21,DrawPrep!$C$3:$D$34,2,FALSE),FIND(" ",VLOOKUP(B21,DrawPrep!$C$3:$D$34,2,FALSE),1)-1))</f>
        <v>ΚΟΚΚΙΝΑΚΗΣ</v>
      </c>
      <c r="D21" s="342">
        <f>IF(OR(MD!$P$18=1,MD!$P$18=2), IF(MD!$P$18=2,MD!$N$17,MD!$N$19),"#")</f>
        <v>37801</v>
      </c>
      <c r="E21" s="357" t="str">
        <f>TRIM(LEFT(VLOOKUP(D21,DrawPrep!$C$3:$D$34,2,FALSE),FIND(" ",VLOOKUP(D21,DrawPrep!$C$3:$D$34,2,FALSE),1)-1))</f>
        <v>ΚΑΡΑΚΩΣΤΑΣ</v>
      </c>
      <c r="F21" s="343" t="str">
        <f>MD!R19</f>
        <v>40 41</v>
      </c>
      <c r="H21" s="139">
        <f t="shared" si="1"/>
        <v>0</v>
      </c>
      <c r="I21" s="140" t="s">
        <v>100</v>
      </c>
    </row>
    <row r="22" spans="1:9" x14ac:dyDescent="0.2">
      <c r="A22" s="341">
        <v>16</v>
      </c>
      <c r="B22" s="342">
        <f>IF(OR(MD!$P$22=1,MD!$P$22=2), IF(MD!$P$22=1,MD!$N$21,MD!$N$23),"#")</f>
        <v>37562</v>
      </c>
      <c r="C22" s="357" t="str">
        <f>TRIM(LEFT(VLOOKUP(B22,DrawPrep!$C$3:$D$34,2,FALSE),FIND(" ",VLOOKUP(B22,DrawPrep!$C$3:$D$34,2,FALSE),1)-1))</f>
        <v>ΣΤΡΟΜΠΑ</v>
      </c>
      <c r="D22" s="342">
        <f>IF(OR(MD!$P$22=1,MD!$P$22=2), IF(MD!$P$22=2,MD!$N$21,MD!$N$23),"#")</f>
        <v>37032</v>
      </c>
      <c r="E22" s="357" t="str">
        <f>TRIM(LEFT(VLOOKUP(D22,DrawPrep!$C$3:$D$34,2,FALSE),FIND(" ",VLOOKUP(D22,DrawPrep!$C$3:$D$34,2,FALSE),1)-1))</f>
        <v>ΧΑΛΑΚΑΤΕΒΑΚΗΣ</v>
      </c>
      <c r="F22" s="343" t="str">
        <f>MD!R23</f>
        <v>42 14 (10-8)</v>
      </c>
      <c r="H22" s="139">
        <f t="shared" si="1"/>
        <v>0</v>
      </c>
      <c r="I22" s="140" t="s">
        <v>100</v>
      </c>
    </row>
    <row r="23" spans="1:9" x14ac:dyDescent="0.2">
      <c r="A23" s="341">
        <v>16</v>
      </c>
      <c r="B23" s="342">
        <f>IF(OR(MD!$P$26=1,MD!$P$26=2), IF(MD!$P$26=1,MD!$N$25,MD!$N$27),"#")</f>
        <v>33396</v>
      </c>
      <c r="C23" s="357" t="str">
        <f>TRIM(LEFT(VLOOKUP(B23,DrawPrep!$C$3:$D$34,2,FALSE),FIND(" ",VLOOKUP(B23,DrawPrep!$C$3:$D$34,2,FALSE),1)-1))</f>
        <v>ΖΕΡΒΟΣ</v>
      </c>
      <c r="D23" s="342">
        <f>IF(OR(MD!$P$26=1,MD!$P$26=2), IF(MD!$P$26=2,MD!$N$25,MD!$N$27),"#")</f>
        <v>37669</v>
      </c>
      <c r="E23" s="357" t="str">
        <f>TRIM(LEFT(VLOOKUP(D23,DrawPrep!$C$3:$D$34,2,FALSE),FIND(" ",VLOOKUP(D23,DrawPrep!$C$3:$D$34,2,FALSE),1)-1))</f>
        <v>ΜΑΡΑΚΗΣ</v>
      </c>
      <c r="F23" s="343" t="str">
        <f>MD!R27</f>
        <v>41 42</v>
      </c>
      <c r="H23" s="139">
        <f t="shared" si="1"/>
        <v>37803</v>
      </c>
      <c r="I23" s="140" t="s">
        <v>100</v>
      </c>
    </row>
    <row r="24" spans="1:9" x14ac:dyDescent="0.2">
      <c r="A24" s="341">
        <v>16</v>
      </c>
      <c r="B24" s="342">
        <f>IF(OR(MD!$P$30=1,MD!$P$30=2), IF(MD!$P$30=1,MD!$N$29,MD!$N$31),"#")</f>
        <v>35629</v>
      </c>
      <c r="C24" s="357" t="str">
        <f>TRIM(LEFT(VLOOKUP(B24,DrawPrep!$C$3:$D$34,2,FALSE),FIND(" ",VLOOKUP(B24,DrawPrep!$C$3:$D$34,2,FALSE),1)-1))</f>
        <v>ΣΠΥΡΟΠΟΥΛΟΣ</v>
      </c>
      <c r="D24" s="342">
        <f>IF(OR(MD!$P$30=1,MD!$P$30=2), IF(MD!$P$30=2,MD!$N$29,MD!$N$31),"#")</f>
        <v>38697</v>
      </c>
      <c r="E24" s="357" t="str">
        <f>TRIM(LEFT(VLOOKUP(D24,DrawPrep!$C$3:$D$34,2,FALSE),FIND(" ",VLOOKUP(D24,DrawPrep!$C$3:$D$34,2,FALSE),1)-1))</f>
        <v>ΤΑΒΕΡΝΑΡΑΚΗΣ</v>
      </c>
      <c r="F24" s="343" t="str">
        <f>MD!R31</f>
        <v>41 40</v>
      </c>
      <c r="H24" s="139">
        <f t="shared" si="1"/>
        <v>37800</v>
      </c>
      <c r="I24" s="140" t="s">
        <v>100</v>
      </c>
    </row>
    <row r="25" spans="1:9" x14ac:dyDescent="0.2">
      <c r="A25" s="341">
        <v>16</v>
      </c>
      <c r="B25" s="342">
        <f>IF(OR(MD!$P$34=1,MD!$P$34=2), IF(MD!$P$34=1,MD!$N$33,MD!$N$35),"#")</f>
        <v>36263</v>
      </c>
      <c r="C25" s="357" t="str">
        <f>TRIM(LEFT(VLOOKUP(B25,DrawPrep!$C$3:$D$34,2,FALSE),FIND(" ",VLOOKUP(B25,DrawPrep!$C$3:$D$34,2,FALSE),1)-1))</f>
        <v>ΜΑΝΔΑΛΕΝΑΚΗΣ</v>
      </c>
      <c r="D25" s="342">
        <f>IF(OR(MD!$P$34=1,MD!$P$34=2), IF(MD!$P$34=2,MD!$N$33,MD!$N$35),"#")</f>
        <v>37664</v>
      </c>
      <c r="E25" s="357" t="str">
        <f>TRIM(LEFT(VLOOKUP(D25,DrawPrep!$C$3:$D$34,2,FALSE),FIND(" ",VLOOKUP(D25,DrawPrep!$C$3:$D$34,2,FALSE),1)-1))</f>
        <v>ΚΑΫΜΕΝΑΚΗΣ</v>
      </c>
      <c r="F25" s="343" t="str">
        <f>MD!R35</f>
        <v>42 42</v>
      </c>
      <c r="H25" s="139">
        <f t="shared" si="1"/>
        <v>37990</v>
      </c>
      <c r="I25" s="140" t="s">
        <v>100</v>
      </c>
    </row>
    <row r="26" spans="1:9" x14ac:dyDescent="0.2">
      <c r="A26" s="344">
        <v>8</v>
      </c>
      <c r="B26" s="345">
        <f>IF(OR(MD!$S$8 =1,MD!$S$8 =2), IF(MD!$S$8 =1,MD!$Q$6,MD!$Q$10),"#")</f>
        <v>31617</v>
      </c>
      <c r="C26" s="357" t="str">
        <f>TRIM(LEFT(VLOOKUP(B26,DrawPrep!$C$3:$D$34,2,FALSE),FIND(" ",VLOOKUP(B26,DrawPrep!$C$3:$D$34,2,FALSE),1)-1))</f>
        <v>ΜΑΤΣΑΜΑΚΗΣ</v>
      </c>
      <c r="D26" s="345">
        <f>IF(OR(MD!$S$8 =1,MD!$S$8 =2), IF(MD!$S$8 =2,MD!$Q$6,MD!$Q$10),"#")</f>
        <v>32350</v>
      </c>
      <c r="E26" s="357" t="str">
        <f>TRIM(LEFT(VLOOKUP(D26,DrawPrep!$C$3:$D$34,2,FALSE),FIND(" ",VLOOKUP(D26,DrawPrep!$C$3:$D$34,2,FALSE),1)-1))</f>
        <v>ΠΕΤΡΑΚΗΣ</v>
      </c>
      <c r="F26" s="346" t="str">
        <f>MD!U9</f>
        <v>40 41</v>
      </c>
      <c r="H26" s="139">
        <f t="shared" si="1"/>
        <v>0</v>
      </c>
      <c r="I26" s="140" t="s">
        <v>100</v>
      </c>
    </row>
    <row r="27" spans="1:9" x14ac:dyDescent="0.2">
      <c r="A27" s="344">
        <v>8</v>
      </c>
      <c r="B27" s="345">
        <f>IF(OR(MD!$S$16=1,MD!$S$16=2), IF(MD!$S$16=1,MD!$Q$14,MD!$Q$18),"#")</f>
        <v>36456</v>
      </c>
      <c r="C27" s="357" t="str">
        <f>TRIM(LEFT(VLOOKUP(B27,DrawPrep!$C$3:$D$34,2,FALSE),FIND(" ",VLOOKUP(B27,DrawPrep!$C$3:$D$34,2,FALSE),1)-1))</f>
        <v>ΓΕΝΝΑΡΑΚΗΣ</v>
      </c>
      <c r="D27" s="345">
        <f>IF(OR(MD!$S$16=1,MD!$S$16=2), IF(MD!$S$16=2,MD!$Q$14,MD!$Q$18),"#")</f>
        <v>37665</v>
      </c>
      <c r="E27" s="357" t="str">
        <f>TRIM(LEFT(VLOOKUP(D27,DrawPrep!$C$3:$D$34,2,FALSE),FIND(" ",VLOOKUP(D27,DrawPrep!$C$3:$D$34,2,FALSE),1)-1))</f>
        <v>ΚΟΚΚΙΝΑΚΗΣ</v>
      </c>
      <c r="F27" s="346" t="str">
        <f>MD!U17</f>
        <v>54(10) 53</v>
      </c>
      <c r="H27" s="139">
        <f t="shared" si="1"/>
        <v>33835</v>
      </c>
      <c r="I27" s="140" t="s">
        <v>100</v>
      </c>
    </row>
    <row r="28" spans="1:9" x14ac:dyDescent="0.2">
      <c r="A28" s="344">
        <v>8</v>
      </c>
      <c r="B28" s="345">
        <f>IF(OR(MD!$S$24=1,MD!$S$24=2), IF(MD!$S$24=1,MD!$Q$22,MD!$Q$26),"#")</f>
        <v>33396</v>
      </c>
      <c r="C28" s="357" t="str">
        <f>TRIM(LEFT(VLOOKUP(B28,DrawPrep!$C$3:$D$34,2,FALSE),FIND(" ",VLOOKUP(B28,DrawPrep!$C$3:$D$34,2,FALSE),1)-1))</f>
        <v>ΖΕΡΒΟΣ</v>
      </c>
      <c r="D28" s="345">
        <f>IF(OR(MD!$S$24=1,MD!$S$24=2), IF(MD!$S$24=2,MD!$Q$22,MD!$Q$26),"#")</f>
        <v>37562</v>
      </c>
      <c r="E28" s="357" t="str">
        <f>TRIM(LEFT(VLOOKUP(D28,DrawPrep!$C$3:$D$34,2,FALSE),FIND(" ",VLOOKUP(D28,DrawPrep!$C$3:$D$34,2,FALSE),1)-1))</f>
        <v>ΣΤΡΟΜΠΑ</v>
      </c>
      <c r="F28" s="346" t="str">
        <f>MD!U25</f>
        <v>40 41</v>
      </c>
      <c r="H28" s="139">
        <f t="shared" si="1"/>
        <v>37471</v>
      </c>
      <c r="I28" s="140" t="s">
        <v>100</v>
      </c>
    </row>
    <row r="29" spans="1:9" x14ac:dyDescent="0.2">
      <c r="A29" s="344">
        <v>8</v>
      </c>
      <c r="B29" s="345">
        <f>IF(OR(MD!$S$32=1,MD!$S$32=2), IF(MD!$S$32=1,MD!$Q$30,MD!$Q$34),"#")</f>
        <v>36263</v>
      </c>
      <c r="C29" s="357" t="str">
        <f>TRIM(LEFT(VLOOKUP(B29,DrawPrep!$C$3:$D$34,2,FALSE),FIND(" ",VLOOKUP(B29,DrawPrep!$C$3:$D$34,2,FALSE),1)-1))</f>
        <v>ΜΑΝΔΑΛΕΝΑΚΗΣ</v>
      </c>
      <c r="D29" s="345">
        <f>IF(OR(MD!$S$32=1,MD!$S$32=2), IF(MD!$S$32=2,MD!$Q$30,MD!$Q$34),"#")</f>
        <v>35629</v>
      </c>
      <c r="E29" s="357" t="str">
        <f>TRIM(LEFT(VLOOKUP(D29,DrawPrep!$C$3:$D$34,2,FALSE),FIND(" ",VLOOKUP(D29,DrawPrep!$C$3:$D$34,2,FALSE),1)-1))</f>
        <v>ΣΠΥΡΟΠΟΥΛΟΣ</v>
      </c>
      <c r="F29" s="346" t="str">
        <f>MD!U33</f>
        <v>40 40</v>
      </c>
      <c r="H29" s="139">
        <f t="shared" si="1"/>
        <v>0</v>
      </c>
      <c r="I29" s="140" t="s">
        <v>100</v>
      </c>
    </row>
    <row r="30" spans="1:9" x14ac:dyDescent="0.2">
      <c r="A30" s="347">
        <v>4</v>
      </c>
      <c r="B30" s="348">
        <f>IF(OR(MD!$V$12=1,MD!$V$12=2), IF(MD!$V$12=1,MD!$T$8,MD!$T$16),"#")</f>
        <v>31617</v>
      </c>
      <c r="C30" s="357" t="str">
        <f>TRIM(LEFT(VLOOKUP(B30,DrawPrep!$C$3:$D$34,2,FALSE),FIND(" ",VLOOKUP(B30,DrawPrep!$C$3:$D$34,2,FALSE),1)-1))</f>
        <v>ΜΑΤΣΑΜΑΚΗΣ</v>
      </c>
      <c r="D30" s="348">
        <f>IF(OR(MD!$V$12=1,MD!$V$12=2), IF(MD!$V$12=2,MD!$T$8,MD!$T$16),"#")</f>
        <v>36456</v>
      </c>
      <c r="E30" s="357" t="str">
        <f>TRIM(LEFT(VLOOKUP(D30,DrawPrep!$C$3:$D$34,2,FALSE),FIND(" ",VLOOKUP(D30,DrawPrep!$C$3:$D$34,2,FALSE),1)-1))</f>
        <v>ΓΕΝΝΑΡΑΚΗΣ</v>
      </c>
      <c r="F30" s="349" t="str">
        <f>MD!X13</f>
        <v>61 63</v>
      </c>
      <c r="H30" s="139">
        <f t="shared" si="1"/>
        <v>38017</v>
      </c>
      <c r="I30" s="140" t="s">
        <v>100</v>
      </c>
    </row>
    <row r="31" spans="1:9" x14ac:dyDescent="0.2">
      <c r="A31" s="347">
        <v>4</v>
      </c>
      <c r="B31" s="348">
        <f>IF(OR(MD!$V$28=1,MD!$V$28=2), IF(MD!$V$28=1,MD!$T$24,MD!$T$32),"#")</f>
        <v>36263</v>
      </c>
      <c r="C31" s="357" t="str">
        <f>TRIM(LEFT(VLOOKUP(B31,DrawPrep!$C$3:$D$34,2,FALSE),FIND(" ",VLOOKUP(B31,DrawPrep!$C$3:$D$34,2,FALSE),1)-1))</f>
        <v>ΜΑΝΔΑΛΕΝΑΚΗΣ</v>
      </c>
      <c r="D31" s="348">
        <f>IF(OR(MD!$V$28=1,MD!$V$28=2), IF(MD!$V$28=2,MD!$T$24,MD!$T$32),"#")</f>
        <v>33396</v>
      </c>
      <c r="E31" s="357" t="str">
        <f>TRIM(LEFT(VLOOKUP(D31,DrawPrep!$C$3:$D$34,2,FALSE),FIND(" ",VLOOKUP(D31,DrawPrep!$C$3:$D$34,2,FALSE),1)-1))</f>
        <v>ΖΕΡΒΟΣ</v>
      </c>
      <c r="F31" s="349" t="str">
        <f>MD!X29</f>
        <v>46 76(7) 60</v>
      </c>
      <c r="H31" s="139">
        <f t="shared" si="1"/>
        <v>33985</v>
      </c>
      <c r="I31" s="140" t="s">
        <v>100</v>
      </c>
    </row>
    <row r="32" spans="1:9" x14ac:dyDescent="0.2">
      <c r="A32" s="350">
        <v>2</v>
      </c>
      <c r="B32" s="351">
        <f>IF(OR(MD!$V$20=1,MD!$V$20=2), IF(MD!$V$20=1,MD!$W$12,MD!$W$28),"#")</f>
        <v>31617</v>
      </c>
      <c r="C32" s="357" t="str">
        <f>TRIM(LEFT(VLOOKUP(B32,DrawPrep!$C$3:$D$34,2,FALSE),FIND(" ",VLOOKUP(B32,DrawPrep!$C$3:$D$34,2,FALSE),1)-1))</f>
        <v>ΜΑΤΣΑΜΑΚΗΣ</v>
      </c>
      <c r="D32" s="352">
        <f>IF(OR(MD!$V$20=1,MD!$V$20=2), IF(MD!$V$20=2,MD!$W$12,MD!$W$28),"#")</f>
        <v>36263</v>
      </c>
      <c r="E32" s="357" t="str">
        <f>TRIM(LEFT(VLOOKUP(D32,DrawPrep!$C$3:$D$34,2,FALSE),FIND(" ",VLOOKUP(D32,DrawPrep!$C$3:$D$34,2,FALSE),1)-1))</f>
        <v>ΜΑΝΔΑΛΕΝΑΚΗΣ</v>
      </c>
      <c r="F32" s="353" t="str">
        <f>MD!X21</f>
        <v>62 62</v>
      </c>
      <c r="H32" s="139">
        <f t="shared" si="1"/>
        <v>36616</v>
      </c>
      <c r="I32" s="140" t="s">
        <v>100</v>
      </c>
    </row>
    <row r="33" spans="1:9" x14ac:dyDescent="0.2">
      <c r="A33" s="354"/>
      <c r="B33" s="355"/>
      <c r="C33" s="358"/>
      <c r="D33" s="355"/>
      <c r="E33" s="358"/>
      <c r="F33" s="356"/>
      <c r="H33" s="193">
        <f>D17</f>
        <v>0</v>
      </c>
      <c r="I33" s="194" t="s">
        <v>100</v>
      </c>
    </row>
  </sheetData>
  <sheetProtection formatColumns="0" formatRows="0"/>
  <mergeCells count="3">
    <mergeCell ref="K1:L1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3</vt:i4>
      </vt:variant>
    </vt:vector>
  </HeadingPairs>
  <TitlesOfParts>
    <vt:vector size="12" baseType="lpstr">
      <vt:lpstr>Setup</vt:lpstr>
      <vt:lpstr>DrawPrep</vt:lpstr>
      <vt:lpstr>MD</vt:lpstr>
      <vt:lpstr>Day1</vt:lpstr>
      <vt:lpstr>Day2</vt:lpstr>
      <vt:lpstr>notes</vt:lpstr>
      <vt:lpstr>PrgPrep</vt:lpstr>
      <vt:lpstr>tables</vt:lpstr>
      <vt:lpstr>matches</vt:lpstr>
      <vt:lpstr>Categories</vt:lpstr>
      <vt:lpstr>Grades</vt:lpstr>
      <vt:lpstr>MD!Print_Area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2016-10-26T09:27:36Z</cp:lastPrinted>
  <dcterms:created xsi:type="dcterms:W3CDTF">2011-03-03T12:31:09Z</dcterms:created>
  <dcterms:modified xsi:type="dcterms:W3CDTF">2016-10-26T09:27:40Z</dcterms:modified>
</cp:coreProperties>
</file>